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01" firstSheet="13"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元)" sheetId="69" state="hidden" r:id="rId20"/>
    <sheet name="假设开发法" sheetId="12" state="hidden" r:id="rId21"/>
    <sheet name="成本法" sheetId="68" r:id="rId22"/>
    <sheet name="收益法（汇总）" sheetId="70" r:id="rId23"/>
    <sheet name="收益法租约商业" sheetId="15" r:id="rId24"/>
    <sheet name="收益法-办公"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无租约商业" sheetId="86" r:id="rId45"/>
    <sheet name="收益法车库" sheetId="87" r:id="rId46"/>
    <sheet name="项目详细情况" sheetId="80" r:id="rId47"/>
    <sheet name="收益法租金" sheetId="77"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'收益法-办公'!$A$1:$AK$69</definedName>
    <definedName name="_xlnm.Print_Area" localSheetId="45">收益法车库!$A$1:$AK$69</definedName>
    <definedName name="_xlnm.Print_Area" localSheetId="44">收益法无租约商业!$A$1:$AK$69</definedName>
    <definedName name="_xlnm.Print_Area" localSheetId="23">收益法租约商业!$A$1:$AK$69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70" i="80" l="1"/>
  <c r="K55" i="80"/>
  <c r="M50" i="80" l="1"/>
  <c r="H49" i="80" l="1"/>
  <c r="AD6" i="1"/>
  <c r="I52" i="80" l="1"/>
  <c r="I62" i="80" s="1"/>
  <c r="AA6" i="1"/>
  <c r="Z6" i="1" s="1"/>
  <c r="I61" i="80"/>
  <c r="Q7" i="1" l="1"/>
  <c r="L14" i="1"/>
  <c r="H34" i="80"/>
  <c r="H35" i="80" s="1"/>
  <c r="H33" i="80"/>
  <c r="N6" i="1" l="1"/>
  <c r="N8" i="1"/>
  <c r="N14" i="1" s="1"/>
  <c r="G21" i="6"/>
  <c r="C15" i="3"/>
  <c r="C21" i="6"/>
  <c r="C20" i="6"/>
  <c r="C14" i="3"/>
  <c r="Q72" i="87"/>
  <c r="Q59" i="87"/>
  <c r="K59" i="87"/>
  <c r="P74" i="87" s="1"/>
  <c r="F59" i="87"/>
  <c r="Q58" i="87"/>
  <c r="Q51" i="87"/>
  <c r="J50" i="87"/>
  <c r="M47" i="87"/>
  <c r="D46" i="87"/>
  <c r="F33" i="87"/>
  <c r="F61" i="87" s="1"/>
  <c r="F31" i="87"/>
  <c r="F23" i="87"/>
  <c r="D23" i="87" s="1"/>
  <c r="F21" i="87"/>
  <c r="F20" i="87"/>
  <c r="M19" i="87"/>
  <c r="F18" i="87"/>
  <c r="M17" i="87"/>
  <c r="F17" i="87"/>
  <c r="F15" i="87"/>
  <c r="Q72" i="86"/>
  <c r="Q59" i="86"/>
  <c r="K59" i="86"/>
  <c r="P74" i="86" s="1"/>
  <c r="F59" i="86"/>
  <c r="Q58" i="86"/>
  <c r="Q51" i="86"/>
  <c r="J50" i="86"/>
  <c r="M47" i="86"/>
  <c r="D46" i="86"/>
  <c r="F33" i="86"/>
  <c r="F61" i="86" s="1"/>
  <c r="F31" i="86"/>
  <c r="F23" i="86"/>
  <c r="D23" i="86" s="1"/>
  <c r="F21" i="86"/>
  <c r="F20" i="86"/>
  <c r="M19" i="86"/>
  <c r="F18" i="86"/>
  <c r="M17" i="86"/>
  <c r="F17" i="86"/>
  <c r="F15" i="86"/>
  <c r="I65" i="80"/>
  <c r="J60" i="80"/>
  <c r="I49" i="80"/>
  <c r="Y8" i="1" l="1"/>
  <c r="K13" i="3"/>
  <c r="G19" i="6" s="1"/>
  <c r="J49" i="80"/>
  <c r="D24" i="87"/>
  <c r="P61" i="87"/>
  <c r="D22" i="87"/>
  <c r="D24" i="86"/>
  <c r="P61" i="86"/>
  <c r="D22" i="86"/>
  <c r="F54" i="80"/>
  <c r="F53" i="80"/>
  <c r="U5" i="43" s="1"/>
  <c r="F52" i="80"/>
  <c r="U4" i="43" s="1"/>
  <c r="F51" i="80"/>
  <c r="U3" i="43" s="1"/>
  <c r="F50" i="80"/>
  <c r="U2" i="43" s="1"/>
  <c r="I53" i="80"/>
  <c r="I50" i="80"/>
  <c r="H38" i="80"/>
  <c r="I38" i="80" s="1"/>
  <c r="H43" i="80"/>
  <c r="H42" i="80"/>
  <c r="H41" i="80"/>
  <c r="H40" i="80"/>
  <c r="D29" i="43"/>
  <c r="I39" i="80"/>
  <c r="N7" i="1"/>
  <c r="Y7" i="1" s="1"/>
  <c r="F49" i="80"/>
  <c r="H32" i="80"/>
  <c r="I41" i="80" l="1"/>
  <c r="H72" i="80"/>
  <c r="M52" i="80"/>
  <c r="I43" i="80"/>
  <c r="H74" i="80"/>
  <c r="M54" i="80"/>
  <c r="I40" i="80"/>
  <c r="I44" i="80" s="1"/>
  <c r="H44" i="80" s="1"/>
  <c r="H71" i="80"/>
  <c r="M51" i="80"/>
  <c r="I42" i="80"/>
  <c r="H73" i="80"/>
  <c r="M53" i="80"/>
  <c r="H69" i="80"/>
  <c r="M49" i="80"/>
  <c r="M56" i="80" s="1"/>
  <c r="M57" i="80" s="1"/>
  <c r="M58" i="80" s="1"/>
  <c r="F55" i="80"/>
  <c r="I69" i="80"/>
  <c r="U6" i="43"/>
  <c r="I74" i="80"/>
  <c r="I13" i="3"/>
  <c r="F19" i="6" s="1"/>
  <c r="I70" i="80"/>
  <c r="I71" i="80"/>
  <c r="I55" i="80"/>
  <c r="K14" i="3"/>
  <c r="G20" i="6" s="1"/>
  <c r="I73" i="80"/>
  <c r="I72" i="80"/>
  <c r="D33" i="43"/>
  <c r="O15" i="77"/>
  <c r="O14" i="77"/>
  <c r="N15" i="77"/>
  <c r="M14" i="77"/>
  <c r="M15" i="77"/>
  <c r="N14" i="77"/>
  <c r="I75" i="80" l="1"/>
  <c r="J70" i="80"/>
  <c r="I14" i="3"/>
  <c r="F20" i="6" s="1"/>
  <c r="H52" i="80"/>
  <c r="J52" i="80" s="1"/>
  <c r="H53" i="80"/>
  <c r="J53" i="80" s="1"/>
  <c r="H51" i="80"/>
  <c r="J51" i="80" s="1"/>
  <c r="D16" i="77"/>
  <c r="D15" i="77"/>
  <c r="D17" i="77" s="1"/>
  <c r="H50" i="80" l="1"/>
  <c r="I5" i="77"/>
  <c r="I4" i="77"/>
  <c r="D7" i="77"/>
  <c r="D6" i="77"/>
  <c r="D5" i="77"/>
  <c r="D4" i="77"/>
  <c r="D8" i="77" s="1"/>
  <c r="Y6" i="1"/>
  <c r="C13" i="3"/>
  <c r="C19" i="6" s="1"/>
  <c r="D3" i="4"/>
  <c r="P15" i="77"/>
  <c r="P14" i="77"/>
  <c r="J50" i="80" l="1"/>
  <c r="J55" i="80"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13" i="76"/>
  <c r="E8" i="76"/>
  <c r="B13" i="76"/>
  <c r="B12" i="76"/>
  <c r="B7" i="76"/>
  <c r="E11" i="76"/>
  <c r="B9" i="76"/>
  <c r="B8" i="76"/>
  <c r="E10" i="76"/>
  <c r="E9" i="76"/>
  <c r="E7" i="76"/>
  <c r="B11" i="76"/>
  <c r="E12"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5" i="73"/>
  <c r="F4" i="73"/>
  <c r="F5" i="73"/>
  <c r="F3" i="73"/>
  <c r="I1" i="73" l="1"/>
  <c r="B39" i="1" s="1"/>
  <c r="D4" i="73"/>
  <c r="D3" i="73"/>
  <c r="D6" i="73"/>
  <c r="D7" i="73"/>
  <c r="F11" i="87" l="1"/>
  <c r="M11" i="87"/>
  <c r="F11" i="86"/>
  <c r="M11" i="86"/>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7" l="1"/>
  <c r="C53" i="86"/>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B24" i="71" l="1"/>
  <c r="B25" i="71" s="1"/>
  <c r="S25" i="71" s="1"/>
  <c r="E24" i="71"/>
  <c r="E25" i="71" s="1"/>
  <c r="U25" i="71" s="1"/>
  <c r="B28" i="71"/>
  <c r="B29" i="71" s="1"/>
  <c r="S29" i="71" s="1"/>
  <c r="E28" i="71"/>
  <c r="E29" i="71" s="1"/>
  <c r="U29"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3" i="1"/>
  <c r="AO11"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AH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43" i="3"/>
  <c r="AZ47" i="3"/>
  <c r="AZ79" i="3"/>
  <c r="AZ83"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G336" i="3"/>
  <c r="BA338" i="3"/>
  <c r="AZ338" i="3" s="1"/>
  <c r="BL339" i="3"/>
  <c r="AZ339" i="3" s="1"/>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AZ373" i="3" s="1"/>
  <c r="BL374" i="3"/>
  <c r="G375" i="3"/>
  <c r="BA377" i="3"/>
  <c r="AZ241" i="3"/>
  <c r="AZ245" i="3"/>
  <c r="BA379" i="3"/>
  <c r="AZ379" i="3" s="1"/>
  <c r="BL380" i="3"/>
  <c r="G381" i="3"/>
  <c r="BA383" i="3"/>
  <c r="BL384" i="3"/>
  <c r="G385" i="3"/>
  <c r="BA387" i="3"/>
  <c r="AZ387" i="3" s="1"/>
  <c r="BL388" i="3"/>
  <c r="G389" i="3"/>
  <c r="BA391" i="3"/>
  <c r="BL392" i="3"/>
  <c r="G393" i="3"/>
  <c r="AZ283"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64" i="3"/>
  <c r="BA15" i="3"/>
  <c r="BB5" i="3"/>
  <c r="BR5" i="3"/>
  <c r="G509" i="3"/>
  <c r="BL493" i="3"/>
  <c r="AZ390"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17" i="3"/>
  <c r="AZ45" i="3"/>
  <c r="AZ50"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12" i="36" l="1"/>
  <c r="W12" i="36"/>
  <c r="AZ359" i="3"/>
  <c r="AC11" i="39"/>
  <c r="AZ391" i="3"/>
  <c r="AZ380" i="3"/>
  <c r="AZ369" i="3"/>
  <c r="AZ361" i="3"/>
  <c r="AZ345" i="3"/>
  <c r="AZ363" i="3"/>
  <c r="AZ351" i="3"/>
  <c r="AZ167" i="3"/>
  <c r="AZ151" i="3"/>
  <c r="AZ376" i="3"/>
  <c r="AZ360" i="3"/>
  <c r="AZ517" i="3"/>
  <c r="AZ571" i="3"/>
  <c r="AZ575" i="3"/>
  <c r="AZ579" i="3"/>
  <c r="AZ504" i="3"/>
  <c r="AZ516" i="3"/>
  <c r="AZ524" i="3"/>
  <c r="AZ528" i="3"/>
  <c r="AZ532" i="3"/>
  <c r="AZ536" i="3"/>
  <c r="AZ544" i="3"/>
  <c r="AZ554" i="3"/>
  <c r="AZ566" i="3"/>
  <c r="AZ582" i="3"/>
  <c r="AB11" i="35"/>
  <c r="AA44" i="33"/>
  <c r="F9" i="36"/>
  <c r="AA9" i="36" s="1"/>
  <c r="J26" i="37"/>
  <c r="AZ365" i="3"/>
  <c r="AZ330" i="3"/>
  <c r="AZ375" i="3"/>
  <c r="G578" i="3"/>
  <c r="G570" i="3"/>
  <c r="G566" i="3"/>
  <c r="G542" i="3"/>
  <c r="G526" i="3"/>
  <c r="G400" i="3"/>
  <c r="BA401" i="3"/>
  <c r="G402" i="3"/>
  <c r="BA403" i="3"/>
  <c r="G404" i="3"/>
  <c r="BA405" i="3"/>
  <c r="AZ405" i="3" s="1"/>
  <c r="BL405" i="3"/>
  <c r="BL407" i="3"/>
  <c r="G408" i="3"/>
  <c r="BL409" i="3"/>
  <c r="BL411" i="3"/>
  <c r="G416" i="3"/>
  <c r="BA417" i="3"/>
  <c r="G418" i="3"/>
  <c r="BA419" i="3"/>
  <c r="G420" i="3"/>
  <c r="BA421" i="3"/>
  <c r="BL421" i="3"/>
  <c r="BL423" i="3"/>
  <c r="G424" i="3"/>
  <c r="BA425" i="3"/>
  <c r="BL425" i="3"/>
  <c r="BA426" i="3"/>
  <c r="AZ426" i="3" s="1"/>
  <c r="BA427" i="3"/>
  <c r="AZ427" i="3" s="1"/>
  <c r="BL429" i="3"/>
  <c r="G430" i="3"/>
  <c r="BA431" i="3"/>
  <c r="BL431" i="3"/>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L489" i="3"/>
  <c r="G492" i="3"/>
  <c r="G307" i="3"/>
  <c r="BL308" i="3"/>
  <c r="AZ308" i="3" s="1"/>
  <c r="BL312" i="3"/>
  <c r="AZ312" i="3" s="1"/>
  <c r="G313" i="3"/>
  <c r="BA315" i="3"/>
  <c r="AZ315" i="3" s="1"/>
  <c r="BA317" i="3"/>
  <c r="AZ317" i="3" s="1"/>
  <c r="G323" i="3"/>
  <c r="BL324" i="3"/>
  <c r="AZ324" i="3" s="1"/>
  <c r="G327" i="3"/>
  <c r="BL328" i="3"/>
  <c r="AZ328" i="3" s="1"/>
  <c r="BL330" i="3"/>
  <c r="G331" i="3"/>
  <c r="BA333" i="3"/>
  <c r="BL333" i="3"/>
  <c r="BA335" i="3"/>
  <c r="AZ335" i="3" s="1"/>
  <c r="G347" i="3"/>
  <c r="BL348" i="3"/>
  <c r="G349" i="3"/>
  <c r="BA350" i="3"/>
  <c r="AZ350" i="3" s="1"/>
  <c r="BA353" i="3"/>
  <c r="AZ353" i="3" s="1"/>
  <c r="BL353" i="3"/>
  <c r="G358" i="3"/>
  <c r="BL359" i="3"/>
  <c r="G362" i="3"/>
  <c r="BL363" i="3"/>
  <c r="G364" i="3"/>
  <c r="BL365" i="3"/>
  <c r="G366" i="3"/>
  <c r="BA368" i="3"/>
  <c r="AZ368" i="3" s="1"/>
  <c r="G374" i="3"/>
  <c r="BL375" i="3"/>
  <c r="G378" i="3"/>
  <c r="G380" i="3"/>
  <c r="BL381" i="3"/>
  <c r="AZ381" i="3" s="1"/>
  <c r="G382" i="3"/>
  <c r="G384" i="3"/>
  <c r="BL385" i="3"/>
  <c r="BA395" i="3"/>
  <c r="AZ395" i="3" s="1"/>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51" i="3"/>
  <c r="G259" i="3"/>
  <c r="G263" i="3"/>
  <c r="G267" i="3"/>
  <c r="BL268" i="3"/>
  <c r="BA270" i="3"/>
  <c r="G271" i="3"/>
  <c r="BL272" i="3"/>
  <c r="BA274" i="3"/>
  <c r="G275" i="3"/>
  <c r="BL276" i="3"/>
  <c r="G287" i="3"/>
  <c r="G289" i="3"/>
  <c r="BA290" i="3"/>
  <c r="G291" i="3"/>
  <c r="BL292" i="3"/>
  <c r="G134" i="3"/>
  <c r="G136" i="3"/>
  <c r="BL137" i="3"/>
  <c r="G140" i="3"/>
  <c r="BL141" i="3"/>
  <c r="G144" i="3"/>
  <c r="BL145" i="3"/>
  <c r="BL147" i="3"/>
  <c r="AZ147" i="3" s="1"/>
  <c r="BA149" i="3"/>
  <c r="BL149" i="3"/>
  <c r="BL151" i="3"/>
  <c r="G152" i="3"/>
  <c r="BA154" i="3"/>
  <c r="BL154" i="3"/>
  <c r="BA156" i="3"/>
  <c r="AZ156" i="3" s="1"/>
  <c r="BA158" i="3"/>
  <c r="G159" i="3"/>
  <c r="BA161" i="3"/>
  <c r="G162" i="3"/>
  <c r="BL163" i="3"/>
  <c r="AZ163" i="3" s="1"/>
  <c r="BA165" i="3"/>
  <c r="BL165" i="3"/>
  <c r="BL167" i="3"/>
  <c r="G168" i="3"/>
  <c r="BA170" i="3"/>
  <c r="BL170" i="3"/>
  <c r="BA172" i="3"/>
  <c r="AZ172" i="3" s="1"/>
  <c r="BA174" i="3"/>
  <c r="G175" i="3"/>
  <c r="G179" i="3"/>
  <c r="G190" i="3"/>
  <c r="BA193" i="3"/>
  <c r="G194" i="3"/>
  <c r="BL195" i="3"/>
  <c r="AZ195" i="3" s="1"/>
  <c r="BA197" i="3"/>
  <c r="BL197" i="3"/>
  <c r="BL199" i="3"/>
  <c r="AZ199" i="3" s="1"/>
  <c r="BA201" i="3"/>
  <c r="AZ201" i="3" s="1"/>
  <c r="BL201" i="3"/>
  <c r="BL203" i="3"/>
  <c r="AZ203" i="3" s="1"/>
  <c r="G204" i="3"/>
  <c r="BL205" i="3"/>
  <c r="G206" i="3"/>
  <c r="BA207" i="3"/>
  <c r="AZ207" i="3" s="1"/>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U23" i="35"/>
  <c r="AB23" i="35"/>
  <c r="AC24" i="36"/>
  <c r="W24" i="36"/>
  <c r="AZ377" i="3"/>
  <c r="AZ382" i="3"/>
  <c r="AZ347" i="3"/>
  <c r="AZ344" i="3"/>
  <c r="AZ337" i="3"/>
  <c r="AZ508" i="3"/>
  <c r="AZ558" i="3"/>
  <c r="G582" i="3"/>
  <c r="G556" i="3"/>
  <c r="G552" i="3"/>
  <c r="G551"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AZ418" i="3" s="1"/>
  <c r="BL418" i="3"/>
  <c r="BL420" i="3"/>
  <c r="G421" i="3"/>
  <c r="G423" i="3"/>
  <c r="BL424" i="3"/>
  <c r="G425" i="3"/>
  <c r="G429" i="3"/>
  <c r="BL430" i="3"/>
  <c r="AZ343" i="3"/>
  <c r="G345" i="3"/>
  <c r="BL346" i="3"/>
  <c r="AZ346" i="3" s="1"/>
  <c r="BA352" i="3"/>
  <c r="AZ352" i="3" s="1"/>
  <c r="BL354" i="3"/>
  <c r="BA358" i="3"/>
  <c r="AZ358" i="3" s="1"/>
  <c r="BA366" i="3"/>
  <c r="AZ366" i="3" s="1"/>
  <c r="BL367" i="3"/>
  <c r="BA370" i="3"/>
  <c r="AZ370" i="3" s="1"/>
  <c r="BA374" i="3"/>
  <c r="AZ374"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BA227" i="3"/>
  <c r="AZ227" i="3" s="1"/>
  <c r="BL227" i="3"/>
  <c r="BA228" i="3"/>
  <c r="AZ228" i="3" s="1"/>
  <c r="BA229" i="3"/>
  <c r="BL231" i="3"/>
  <c r="G232" i="3"/>
  <c r="BL233" i="3"/>
  <c r="G234" i="3"/>
  <c r="G236" i="3"/>
  <c r="G431" i="3"/>
  <c r="BA433" i="3"/>
  <c r="BL433" i="3"/>
  <c r="BA435" i="3"/>
  <c r="AZ435" i="3" s="1"/>
  <c r="BL435" i="3"/>
  <c r="BA436" i="3"/>
  <c r="AZ436" i="3" s="1"/>
  <c r="BA438" i="3"/>
  <c r="BL438" i="3"/>
  <c r="BA439" i="3"/>
  <c r="AZ439" i="3" s="1"/>
  <c r="BA440" i="3"/>
  <c r="AZ440" i="3" s="1"/>
  <c r="BA442" i="3"/>
  <c r="BL442" i="3"/>
  <c r="AZ442" i="3" s="1"/>
  <c r="BL444" i="3"/>
  <c r="G445" i="3"/>
  <c r="G447" i="3"/>
  <c r="BL448" i="3"/>
  <c r="G449" i="3"/>
  <c r="G451" i="3"/>
  <c r="G454" i="3"/>
  <c r="G458" i="3"/>
  <c r="G460" i="3"/>
  <c r="BA461" i="3"/>
  <c r="AZ461" i="3" s="1"/>
  <c r="BL461" i="3"/>
  <c r="BL463" i="3"/>
  <c r="G464" i="3"/>
  <c r="BA465" i="3"/>
  <c r="BL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BA491" i="3"/>
  <c r="AZ491" i="3" s="1"/>
  <c r="BL491" i="3"/>
  <c r="BA492" i="3"/>
  <c r="AZ492" i="3" s="1"/>
  <c r="BA316" i="3"/>
  <c r="BA319" i="3"/>
  <c r="AZ319" i="3" s="1"/>
  <c r="BA323" i="3"/>
  <c r="AZ323" i="3" s="1"/>
  <c r="BL237" i="3"/>
  <c r="G238" i="3"/>
  <c r="G243" i="3"/>
  <c r="G247" i="3"/>
  <c r="BL248" i="3"/>
  <c r="G249" i="3"/>
  <c r="BA250" i="3"/>
  <c r="BL250" i="3"/>
  <c r="BL252" i="3"/>
  <c r="G253" i="3"/>
  <c r="BA254"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BL23" i="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L100" i="43"/>
  <c r="J51" i="86"/>
  <c r="J51" i="87"/>
  <c r="M20" i="15"/>
  <c r="M20" i="87"/>
  <c r="M20" i="86"/>
  <c r="F34" i="87"/>
  <c r="F62" i="87" s="1"/>
  <c r="F34" i="86"/>
  <c r="F62" i="86" s="1"/>
  <c r="M8" i="1"/>
  <c r="G7" i="1"/>
  <c r="G14" i="3"/>
  <c r="G1" i="87"/>
  <c r="G1" i="86"/>
  <c r="E8" i="6"/>
  <c r="F27" i="6" s="1"/>
  <c r="J51" i="15"/>
  <c r="G20" i="43"/>
  <c r="C20" i="43" s="1"/>
  <c r="G28" i="6"/>
  <c r="H75" i="43"/>
  <c r="A15" i="62"/>
  <c r="B61" i="72" s="1"/>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s="1"/>
  <c r="BL15" i="3"/>
  <c r="AZ15" i="3" s="1"/>
  <c r="BA398" i="3"/>
  <c r="AZ398" i="3" s="1"/>
  <c r="G401" i="3"/>
  <c r="BL401" i="3"/>
  <c r="BL403" i="3"/>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AZ438" i="3"/>
  <c r="AZ451" i="3"/>
  <c r="AZ454" i="3"/>
  <c r="AZ458" i="3"/>
  <c r="AZ487" i="3"/>
  <c r="BL316" i="3"/>
  <c r="AZ316" i="3" s="1"/>
  <c r="G318" i="3"/>
  <c r="G329" i="3"/>
  <c r="BA331" i="3"/>
  <c r="AZ331" i="3" s="1"/>
  <c r="BL332" i="3"/>
  <c r="G334"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G240" i="3"/>
  <c r="G241" i="3"/>
  <c r="G242" i="3"/>
  <c r="BL242" i="3"/>
  <c r="AZ242" i="3" s="1"/>
  <c r="G245" i="3"/>
  <c r="G246" i="3"/>
  <c r="BL246" i="3"/>
  <c r="BA247" i="3"/>
  <c r="AZ247" i="3" s="1"/>
  <c r="BA248" i="3"/>
  <c r="AZ248" i="3" s="1"/>
  <c r="BA249" i="3"/>
  <c r="AZ249" i="3" s="1"/>
  <c r="BL251" i="3"/>
  <c r="AZ251" i="3" s="1"/>
  <c r="BA252" i="3"/>
  <c r="BA253" i="3"/>
  <c r="AZ253" i="3" s="1"/>
  <c r="BL586" i="3"/>
  <c r="BL585" i="3"/>
  <c r="AZ585" i="3" s="1"/>
  <c r="J25" i="37"/>
  <c r="H38" i="40"/>
  <c r="F40" i="40"/>
  <c r="G574" i="3"/>
  <c r="G558" i="3"/>
  <c r="AZ402" i="3"/>
  <c r="BA432" i="3"/>
  <c r="AZ432" i="3" s="1"/>
  <c r="BL434" i="3"/>
  <c r="AZ434" i="3" s="1"/>
  <c r="G437" i="3"/>
  <c r="BL437" i="3"/>
  <c r="G440" i="3"/>
  <c r="G441" i="3"/>
  <c r="BL441" i="3"/>
  <c r="AZ441" i="3" s="1"/>
  <c r="BL443" i="3"/>
  <c r="AZ443" i="3" s="1"/>
  <c r="BA444" i="3"/>
  <c r="AZ444" i="3" s="1"/>
  <c r="BL446" i="3"/>
  <c r="AZ446" i="3" s="1"/>
  <c r="BA447" i="3"/>
  <c r="AZ447" i="3" s="1"/>
  <c r="BA448" i="3"/>
  <c r="BL450" i="3"/>
  <c r="AZ450" i="3" s="1"/>
  <c r="G453" i="3"/>
  <c r="BL453" i="3"/>
  <c r="AZ453" i="3" s="1"/>
  <c r="G456" i="3"/>
  <c r="G457" i="3"/>
  <c r="BL457" i="3"/>
  <c r="BL459" i="3"/>
  <c r="AZ459" i="3" s="1"/>
  <c r="BA460" i="3"/>
  <c r="AZ460" i="3" s="1"/>
  <c r="BL462" i="3"/>
  <c r="AZ462" i="3" s="1"/>
  <c r="BA463" i="3"/>
  <c r="BA464" i="3"/>
  <c r="AZ464" i="3" s="1"/>
  <c r="G467" i="3"/>
  <c r="G468" i="3"/>
  <c r="BL468" i="3"/>
  <c r="AZ468" i="3" s="1"/>
  <c r="G471" i="3"/>
  <c r="G472" i="3"/>
  <c r="G473" i="3"/>
  <c r="BL473" i="3"/>
  <c r="BA474" i="3"/>
  <c r="AZ474" i="3" s="1"/>
  <c r="BA475" i="3"/>
  <c r="BL477" i="3"/>
  <c r="AZ477" i="3" s="1"/>
  <c r="BA478" i="3"/>
  <c r="AZ478" i="3" s="1"/>
  <c r="BA479" i="3"/>
  <c r="AZ479" i="3" s="1"/>
  <c r="BL481" i="3"/>
  <c r="BA482" i="3"/>
  <c r="AZ482" i="3" s="1"/>
  <c r="BA483" i="3"/>
  <c r="G485" i="3"/>
  <c r="G486" i="3"/>
  <c r="BL486" i="3"/>
  <c r="AZ486" i="3" s="1"/>
  <c r="G489" i="3"/>
  <c r="G490" i="3"/>
  <c r="BL490" i="3"/>
  <c r="G311" i="3"/>
  <c r="G315" i="3"/>
  <c r="AZ332" i="3"/>
  <c r="G343" i="3"/>
  <c r="BA348" i="3"/>
  <c r="AZ348" i="3" s="1"/>
  <c r="BA349" i="3"/>
  <c r="AZ349" i="3" s="1"/>
  <c r="G351" i="3"/>
  <c r="BA354" i="3"/>
  <c r="AZ354" i="3" s="1"/>
  <c r="G369" i="3"/>
  <c r="AZ211" i="3"/>
  <c r="AZ220" i="3"/>
  <c r="AZ226" i="3"/>
  <c r="AZ230" i="3"/>
  <c r="AZ246" i="3"/>
  <c r="BL254" i="3"/>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BA160" i="3"/>
  <c r="AZ160" i="3" s="1"/>
  <c r="BL161" i="3"/>
  <c r="G164" i="3"/>
  <c r="BL166" i="3"/>
  <c r="AZ166" i="3" s="1"/>
  <c r="BA168" i="3"/>
  <c r="AZ168" i="3" s="1"/>
  <c r="BL169" i="3"/>
  <c r="AZ169" i="3" s="1"/>
  <c r="G172" i="3"/>
  <c r="BL174" i="3"/>
  <c r="BA176" i="3"/>
  <c r="AZ176" i="3" s="1"/>
  <c r="BL177" i="3"/>
  <c r="AZ177" i="3" s="1"/>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465" i="3"/>
  <c r="AZ586" i="3"/>
  <c r="W12" i="33"/>
  <c r="AC12" i="33"/>
  <c r="AA32" i="36"/>
  <c r="S32" i="36"/>
  <c r="AZ551" i="3"/>
  <c r="AZ550" i="3"/>
  <c r="AZ408" i="3"/>
  <c r="AZ437"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S9" i="1"/>
  <c r="AR9"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38" i="87"/>
  <c r="M9" i="67"/>
  <c r="M23" i="67"/>
  <c r="M29" i="67"/>
  <c r="F40" i="87"/>
  <c r="F38" i="86"/>
  <c r="M8" i="67"/>
  <c r="M28" i="67"/>
  <c r="F42" i="86"/>
  <c r="M26" i="87"/>
  <c r="F9" i="67"/>
  <c r="M27" i="86"/>
  <c r="J15" i="15"/>
  <c r="F13" i="15"/>
  <c r="M22" i="67"/>
  <c r="L47" i="87"/>
  <c r="C76" i="87"/>
  <c r="L47" i="86"/>
  <c r="F7" i="67"/>
  <c r="F6" i="67"/>
  <c r="F8" i="87"/>
  <c r="F36" i="67"/>
  <c r="F37" i="67"/>
  <c r="F7" i="86"/>
  <c r="F6" i="86"/>
  <c r="M23" i="86"/>
  <c r="M29" i="86"/>
  <c r="M27" i="87"/>
  <c r="F37" i="87"/>
  <c r="L48" i="15"/>
  <c r="F42" i="87"/>
  <c r="M8" i="86"/>
  <c r="F36" i="86"/>
  <c r="F38" i="15"/>
  <c r="F9" i="87"/>
  <c r="M22" i="86"/>
  <c r="F36" i="15"/>
  <c r="M6" i="87"/>
  <c r="G1" i="73"/>
  <c r="L48" i="87"/>
  <c r="F16" i="87"/>
  <c r="F37" i="86"/>
  <c r="F7" i="15"/>
  <c r="J15" i="86"/>
  <c r="M24" i="67"/>
  <c r="M22" i="87"/>
  <c r="F8" i="67"/>
  <c r="F43" i="86"/>
  <c r="F26" i="86"/>
  <c r="C76" i="15"/>
  <c r="M6" i="15"/>
  <c r="J15" i="67"/>
  <c r="F13" i="86"/>
  <c r="C76" i="67"/>
  <c r="M26" i="86"/>
  <c r="M28" i="15"/>
  <c r="F13" i="67"/>
  <c r="M26" i="67"/>
  <c r="F16" i="67"/>
  <c r="M29" i="87"/>
  <c r="M9" i="86"/>
  <c r="F9" i="86"/>
  <c r="F40" i="86"/>
  <c r="F43" i="15"/>
  <c r="M8" i="15"/>
  <c r="M26" i="15"/>
  <c r="M28" i="87"/>
  <c r="F7" i="87"/>
  <c r="M24" i="15"/>
  <c r="F16" i="86"/>
  <c r="M23" i="87"/>
  <c r="F8" i="15"/>
  <c r="F37" i="15"/>
  <c r="M28" i="86"/>
  <c r="L47" i="15"/>
  <c r="M6" i="67"/>
  <c r="F26" i="67"/>
  <c r="M23" i="15"/>
  <c r="M24" i="86"/>
  <c r="F16" i="15"/>
  <c r="M8" i="87"/>
  <c r="F42" i="67"/>
  <c r="F43" i="67"/>
  <c r="F26" i="15"/>
  <c r="F8" i="86"/>
  <c r="M9" i="15"/>
  <c r="C76" i="86"/>
  <c r="F38" i="67"/>
  <c r="M24" i="87"/>
  <c r="J15" i="87"/>
  <c r="F36" i="87"/>
  <c r="M29" i="15"/>
  <c r="L48" i="67"/>
  <c r="F13" i="87"/>
  <c r="L48" i="86"/>
  <c r="F40" i="67"/>
  <c r="L47" i="67"/>
  <c r="F6" i="87"/>
  <c r="F9" i="15"/>
  <c r="M22" i="15"/>
  <c r="F6" i="15"/>
  <c r="M9" i="87"/>
  <c r="F26" i="87"/>
  <c r="F43" i="87"/>
  <c r="F42" i="15"/>
  <c r="M6" i="86"/>
  <c r="AZ110" i="3" l="1"/>
  <c r="AZ108" i="3"/>
  <c r="AZ93" i="3"/>
  <c r="AZ53" i="3"/>
  <c r="AZ36" i="3"/>
  <c r="AZ205" i="3"/>
  <c r="AZ193" i="3"/>
  <c r="AZ174" i="3"/>
  <c r="AZ161" i="3"/>
  <c r="AZ158" i="3"/>
  <c r="AZ302" i="3"/>
  <c r="AZ290" i="3"/>
  <c r="AZ264" i="3"/>
  <c r="AZ256" i="3"/>
  <c r="AZ483" i="3"/>
  <c r="AZ481" i="3"/>
  <c r="AZ475" i="3"/>
  <c r="AZ463" i="3"/>
  <c r="AZ448" i="3"/>
  <c r="AZ252" i="3"/>
  <c r="AZ237" i="3"/>
  <c r="AZ403" i="3"/>
  <c r="AZ69" i="3"/>
  <c r="AZ63" i="3"/>
  <c r="AZ59" i="3"/>
  <c r="AZ194" i="3"/>
  <c r="AZ288" i="3"/>
  <c r="AZ272" i="3"/>
  <c r="AZ229" i="3"/>
  <c r="AZ225" i="3"/>
  <c r="AZ415" i="3"/>
  <c r="AZ20" i="3"/>
  <c r="AZ170" i="3"/>
  <c r="AZ154" i="3"/>
  <c r="AZ218" i="3"/>
  <c r="AZ333" i="3"/>
  <c r="AZ431" i="3"/>
  <c r="AZ425" i="3"/>
  <c r="AZ421" i="3"/>
  <c r="AC26" i="37"/>
  <c r="W26" i="37"/>
  <c r="F53" i="9"/>
  <c r="F32" i="87"/>
  <c r="F60" i="87" s="1"/>
  <c r="F28" i="87"/>
  <c r="C28" i="87" s="1"/>
  <c r="F32" i="86"/>
  <c r="F60" i="86" s="1"/>
  <c r="F28" i="86"/>
  <c r="C28" i="86" s="1"/>
  <c r="M18" i="87"/>
  <c r="M18" i="86"/>
  <c r="AZ67" i="3"/>
  <c r="AZ65" i="3"/>
  <c r="AZ23" i="3"/>
  <c r="AZ291" i="3"/>
  <c r="AZ57" i="3"/>
  <c r="AZ162" i="3"/>
  <c r="AZ275" i="3"/>
  <c r="AZ271" i="3"/>
  <c r="AZ480" i="3"/>
  <c r="AZ476" i="3"/>
  <c r="AZ209" i="3"/>
  <c r="AZ399" i="3"/>
  <c r="Q71" i="86"/>
  <c r="N59" i="86"/>
  <c r="L58" i="86"/>
  <c r="L59" i="86"/>
  <c r="M59" i="86"/>
  <c r="F50" i="86"/>
  <c r="M7" i="86"/>
  <c r="J6" i="86" s="1"/>
  <c r="F66" i="86"/>
  <c r="F64" i="86"/>
  <c r="L57" i="86"/>
  <c r="J60" i="86"/>
  <c r="Q48" i="86" s="1"/>
  <c r="J57" i="86"/>
  <c r="J55" i="86" s="1"/>
  <c r="J58" i="86" s="1"/>
  <c r="Q50" i="86" s="1"/>
  <c r="L60" i="86"/>
  <c r="L56" i="86"/>
  <c r="J53" i="86"/>
  <c r="I54" i="86"/>
  <c r="J59" i="86"/>
  <c r="F71" i="86"/>
  <c r="F68" i="86"/>
  <c r="F51" i="86"/>
  <c r="F65" i="86"/>
  <c r="C27" i="86"/>
  <c r="C6" i="86"/>
  <c r="C10" i="86"/>
  <c r="Q71" i="87"/>
  <c r="C27" i="87"/>
  <c r="F65" i="87"/>
  <c r="F51" i="87"/>
  <c r="F68" i="87"/>
  <c r="F71" i="87"/>
  <c r="L56" i="87"/>
  <c r="J57" i="87"/>
  <c r="J55" i="87" s="1"/>
  <c r="J58" i="87" s="1"/>
  <c r="Q50" i="87" s="1"/>
  <c r="I54" i="87"/>
  <c r="J59" i="87"/>
  <c r="L57" i="87"/>
  <c r="J53" i="87"/>
  <c r="J60" i="87"/>
  <c r="Q48" i="87" s="1"/>
  <c r="L60" i="87"/>
  <c r="L46" i="87"/>
  <c r="C6" i="87"/>
  <c r="C10" i="87"/>
  <c r="F64" i="87"/>
  <c r="F66" i="87"/>
  <c r="F50" i="87"/>
  <c r="M7" i="87"/>
  <c r="J6" i="87" s="1"/>
  <c r="N59" i="87"/>
  <c r="L58" i="87"/>
  <c r="L59" i="87"/>
  <c r="M59" i="87"/>
  <c r="E4" i="4"/>
  <c r="B5" i="62" s="1"/>
  <c r="B73" i="72" s="1"/>
  <c r="C4" i="4"/>
  <c r="T12" i="1"/>
  <c r="I4" i="6"/>
  <c r="E65" i="39"/>
  <c r="C6" i="43"/>
  <c r="F48" i="43"/>
  <c r="AR10" i="1"/>
  <c r="E56" i="40"/>
  <c r="H52" i="43"/>
  <c r="H50" i="43"/>
  <c r="H48" i="43"/>
  <c r="H49" i="43"/>
  <c r="H53" i="43"/>
  <c r="AB38" i="40"/>
  <c r="U38" i="40"/>
  <c r="T10" i="1"/>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87"/>
  <c r="C17" i="86"/>
  <c r="C16" i="67"/>
  <c r="C16" i="86"/>
  <c r="C17" i="15"/>
  <c r="C16" i="15"/>
  <c r="J10" i="86" l="1"/>
  <c r="J5" i="86" s="1"/>
  <c r="J24" i="86" s="1"/>
  <c r="L46" i="86"/>
  <c r="C49" i="86"/>
  <c r="C48" i="86" s="1"/>
  <c r="C66" i="86" s="1"/>
  <c r="M21" i="6"/>
  <c r="I21" i="6" s="1"/>
  <c r="S21" i="6" s="1"/>
  <c r="S8" i="1"/>
  <c r="Q60" i="87"/>
  <c r="Q73" i="87"/>
  <c r="J10" i="87"/>
  <c r="J5" i="87" s="1"/>
  <c r="Q57" i="87"/>
  <c r="Q66" i="87"/>
  <c r="Q52" i="87"/>
  <c r="F1" i="87"/>
  <c r="C49" i="87"/>
  <c r="C48" i="87" s="1"/>
  <c r="Q52" i="86"/>
  <c r="F1" i="86"/>
  <c r="Q57" i="86"/>
  <c r="Q66" i="86"/>
  <c r="Q74" i="86"/>
  <c r="Q61" i="86"/>
  <c r="Q74" i="87"/>
  <c r="Q61" i="87"/>
  <c r="C5" i="87"/>
  <c r="C5" i="86"/>
  <c r="Q73" i="86"/>
  <c r="Q60" i="86"/>
  <c r="F24" i="86"/>
  <c r="F24" i="87"/>
  <c r="C24" i="86"/>
  <c r="G3" i="43"/>
  <c r="AC11" i="43" s="1"/>
  <c r="AC13" i="43" s="1"/>
  <c r="K4" i="4"/>
  <c r="B46" i="48" s="1"/>
  <c r="B4" i="72" s="1"/>
  <c r="B4" i="62"/>
  <c r="B71" i="72" s="1"/>
  <c r="N104" i="46"/>
  <c r="K101" i="43"/>
  <c r="K16" i="1"/>
  <c r="B29" i="1" s="1"/>
  <c r="C8" i="68" s="1"/>
  <c r="AI11" i="43"/>
  <c r="AI13" i="43" s="1"/>
  <c r="D101" i="43"/>
  <c r="D102" i="43" s="1"/>
  <c r="AG11" i="43"/>
  <c r="AG13" i="43" s="1"/>
  <c r="AH11" i="43"/>
  <c r="AH13" i="43" s="1"/>
  <c r="H22" i="43"/>
  <c r="F101" i="43"/>
  <c r="AJ11" i="43"/>
  <c r="AJ13" i="43" s="1"/>
  <c r="N101" i="43"/>
  <c r="M20" i="6"/>
  <c r="I20" i="6" s="1"/>
  <c r="S20" i="6" s="1"/>
  <c r="M19" i="6"/>
  <c r="AQ7" i="1"/>
  <c r="H54" i="43"/>
  <c r="H51" i="43"/>
  <c r="H55" i="43"/>
  <c r="H56" i="43"/>
  <c r="AY6" i="3"/>
  <c r="E3" i="6"/>
  <c r="D1" i="43" s="1"/>
  <c r="AR6" i="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87" i="3"/>
  <c r="AY34" i="3"/>
  <c r="AY144" i="3"/>
  <c r="AY95" i="3"/>
  <c r="AY152" i="3"/>
  <c r="AY111" i="3"/>
  <c r="AY253" i="3"/>
  <c r="AY382" i="3"/>
  <c r="AY303" i="3"/>
  <c r="AY460" i="3"/>
  <c r="AY529" i="3"/>
  <c r="AY300" i="3"/>
  <c r="AY217" i="3"/>
  <c r="AY327" i="3"/>
  <c r="AY463" i="3"/>
  <c r="AY401" i="3"/>
  <c r="AY544" i="3"/>
  <c r="BE6" i="3"/>
  <c r="AY92" i="3"/>
  <c r="AY76" i="3"/>
  <c r="AY36" i="3"/>
  <c r="AY25" i="3"/>
  <c r="AY182" i="3"/>
  <c r="AY178" i="3"/>
  <c r="AY146" i="3"/>
  <c r="AY157" i="3"/>
  <c r="AY126" i="3"/>
  <c r="AY117" i="3"/>
  <c r="AY302" i="3"/>
  <c r="AY271" i="3"/>
  <c r="AY239"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4" i="86"/>
  <c r="C17" i="87"/>
  <c r="J101" i="43" l="1"/>
  <c r="AA11" i="43"/>
  <c r="AA13" i="43" s="1"/>
  <c r="C101" i="43"/>
  <c r="M101" i="43"/>
  <c r="Z11" i="43"/>
  <c r="Z13" i="43" s="1"/>
  <c r="Y11" i="43"/>
  <c r="Y13" i="43" s="1"/>
  <c r="AF11" i="43"/>
  <c r="AF13" i="43" s="1"/>
  <c r="B113" i="43"/>
  <c r="D118" i="43" s="1"/>
  <c r="E118" i="43" s="1"/>
  <c r="F118" i="43" s="1"/>
  <c r="L101" i="43"/>
  <c r="G22" i="43"/>
  <c r="I101" i="43"/>
  <c r="I109" i="43" s="1"/>
  <c r="Z7" i="43"/>
  <c r="E101" i="43"/>
  <c r="E102" i="43" s="1"/>
  <c r="E22" i="43"/>
  <c r="AE11" i="43"/>
  <c r="AE13" i="43" s="1"/>
  <c r="E8" i="70"/>
  <c r="J26" i="86"/>
  <c r="C18" i="86"/>
  <c r="C15" i="86"/>
  <c r="C60" i="86"/>
  <c r="J18" i="86"/>
  <c r="AQ8" i="1"/>
  <c r="AR8" i="1"/>
  <c r="T8" i="1"/>
  <c r="AB11" i="43"/>
  <c r="AB13" i="43" s="1"/>
  <c r="AD11" i="43"/>
  <c r="AD13" i="43" s="1"/>
  <c r="H101" i="43"/>
  <c r="H103" i="43" s="1"/>
  <c r="C38" i="86"/>
  <c r="C32" i="86"/>
  <c r="C66" i="87"/>
  <c r="C60" i="87"/>
  <c r="C38" i="87"/>
  <c r="C32" i="87"/>
  <c r="J26" i="87"/>
  <c r="J18" i="87"/>
  <c r="J24" i="87"/>
  <c r="C24" i="87"/>
  <c r="C17" i="4"/>
  <c r="B4" i="52" s="1"/>
  <c r="B43" i="72" s="1"/>
  <c r="D3" i="34"/>
  <c r="F22" i="43"/>
  <c r="D22" i="43" s="1"/>
  <c r="G101" i="43"/>
  <c r="D3" i="37"/>
  <c r="L18" i="9"/>
  <c r="E6" i="6"/>
  <c r="D10" i="68" s="1"/>
  <c r="D3" i="33"/>
  <c r="AY51" i="3"/>
  <c r="AY207" i="3"/>
  <c r="AY124" i="3"/>
  <c r="AY42" i="3"/>
  <c r="AY281" i="3"/>
  <c r="AY168" i="3"/>
  <c r="AY236" i="3"/>
  <c r="AY366" i="3"/>
  <c r="AY473" i="3"/>
  <c r="AY441" i="3"/>
  <c r="AY26" i="3"/>
  <c r="AY260" i="3"/>
  <c r="AY372" i="3"/>
  <c r="AY310" i="3"/>
  <c r="AY420" i="3"/>
  <c r="AY549" i="3"/>
  <c r="AY533" i="3"/>
  <c r="AY97" i="3"/>
  <c r="AY61" i="3"/>
  <c r="AY52" i="3"/>
  <c r="AY20" i="3"/>
  <c r="AY198" i="3"/>
  <c r="AY193" i="3"/>
  <c r="AY162" i="3"/>
  <c r="AY173" i="3"/>
  <c r="AY141" i="3"/>
  <c r="AY134" i="3"/>
  <c r="AY291" i="3"/>
  <c r="AY286" i="3"/>
  <c r="AY255" i="3"/>
  <c r="AY270" i="3"/>
  <c r="AY238" i="3"/>
  <c r="AY227" i="3"/>
  <c r="AY384" i="3"/>
  <c r="AY373" i="3"/>
  <c r="AY368" i="3"/>
  <c r="AY507" i="3"/>
  <c r="BB6"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M18" i="9"/>
  <c r="B118" i="9" s="1"/>
  <c r="B14" i="74" s="1"/>
  <c r="B1" i="74" s="1"/>
  <c r="D14" i="12"/>
  <c r="D17" i="12" s="1"/>
  <c r="C17" i="12" s="1"/>
  <c r="D37" i="11"/>
  <c r="D19" i="11"/>
  <c r="C19" i="11" s="1"/>
  <c r="C20" i="11" s="1"/>
  <c r="C25" i="11" s="1"/>
  <c r="D3" i="21"/>
  <c r="H106" i="43"/>
  <c r="H105" i="43"/>
  <c r="N107" i="43"/>
  <c r="N102" i="43"/>
  <c r="F104" i="43"/>
  <c r="F102" i="43"/>
  <c r="D106" i="43"/>
  <c r="D105" i="43"/>
  <c r="K103" i="43"/>
  <c r="K102" i="43"/>
  <c r="K109" i="43"/>
  <c r="B115" i="43"/>
  <c r="C115" i="43" s="1"/>
  <c r="I116" i="43"/>
  <c r="J116" i="43" s="1"/>
  <c r="K116" i="43" s="1"/>
  <c r="L116" i="43" s="1"/>
  <c r="M116" i="43" s="1"/>
  <c r="I117" i="43"/>
  <c r="J117" i="43" s="1"/>
  <c r="K117" i="43" s="1"/>
  <c r="L117" i="43" s="1"/>
  <c r="M117" i="43" s="1"/>
  <c r="D116" i="43"/>
  <c r="E116" i="43" s="1"/>
  <c r="F116" i="43" s="1"/>
  <c r="G116" i="43" s="1"/>
  <c r="H116" i="43" s="1"/>
  <c r="K104" i="43"/>
  <c r="D115" i="43"/>
  <c r="E115" i="43" s="1"/>
  <c r="F115" i="43" s="1"/>
  <c r="G115" i="43" s="1"/>
  <c r="H115" i="43" s="1"/>
  <c r="D117" i="43"/>
  <c r="E117" i="43" s="1"/>
  <c r="F117" i="43" s="1"/>
  <c r="G117" i="43" s="1"/>
  <c r="H117"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N106" i="43"/>
  <c r="F107" i="43"/>
  <c r="K105" i="43"/>
  <c r="K106" i="43"/>
  <c r="K107" i="43"/>
  <c r="B118" i="43"/>
  <c r="C118" i="43" s="1"/>
  <c r="I115" i="43"/>
  <c r="J115" i="43" s="1"/>
  <c r="K115" i="43" s="1"/>
  <c r="L115" i="43" s="1"/>
  <c r="M115" i="43" s="1"/>
  <c r="B117" i="43"/>
  <c r="C117" i="43" s="1"/>
  <c r="B116" i="43"/>
  <c r="C116" i="43" s="1"/>
  <c r="I118" i="43"/>
  <c r="J118" i="43" s="1"/>
  <c r="K118" i="43" s="1"/>
  <c r="L118" i="43" s="1"/>
  <c r="M118" i="43" s="1"/>
  <c r="G118" i="43"/>
  <c r="H118" i="43" s="1"/>
  <c r="E104" i="43"/>
  <c r="E107" i="43"/>
  <c r="L109" i="43"/>
  <c r="L104" i="43"/>
  <c r="M27" i="6"/>
  <c r="N109" i="43"/>
  <c r="F105" i="43"/>
  <c r="I104" i="43"/>
  <c r="I105" i="43"/>
  <c r="I106" i="43"/>
  <c r="N105" i="43"/>
  <c r="N103" i="43"/>
  <c r="N104" i="43"/>
  <c r="F103" i="43"/>
  <c r="F106" i="43"/>
  <c r="F109"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D109" i="43"/>
  <c r="D103" i="43"/>
  <c r="D107" i="43"/>
  <c r="D104" i="43"/>
  <c r="M109" i="43"/>
  <c r="M104" i="43"/>
  <c r="M105" i="43"/>
  <c r="M107" i="43"/>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M19" i="9"/>
  <c r="C118" i="9" s="1"/>
  <c r="C14" i="74" s="1"/>
  <c r="B2" i="74" s="1"/>
  <c r="D19" i="6"/>
  <c r="D25" i="6"/>
  <c r="D26" i="6"/>
  <c r="D15" i="6"/>
  <c r="C18" i="4"/>
  <c r="D22" i="6"/>
  <c r="D8" i="6"/>
  <c r="D21" i="6"/>
  <c r="D23" i="6"/>
  <c r="D24" i="6"/>
  <c r="D14" i="6"/>
  <c r="D20" i="6"/>
  <c r="R20" i="6" s="1"/>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7"/>
  <c r="I41" i="36" l="1"/>
  <c r="J41" i="36" s="1"/>
  <c r="R25" i="6"/>
  <c r="D10" i="11"/>
  <c r="C10" i="11" s="1"/>
  <c r="L107" i="43"/>
  <c r="L103" i="43"/>
  <c r="L106" i="43"/>
  <c r="C104" i="43"/>
  <c r="C107" i="43"/>
  <c r="C105" i="43"/>
  <c r="C103" i="43"/>
  <c r="C106" i="43"/>
  <c r="C109" i="43"/>
  <c r="C102" i="43"/>
  <c r="J107" i="43"/>
  <c r="J105" i="43"/>
  <c r="J109" i="43"/>
  <c r="J104" i="43"/>
  <c r="J102" i="43"/>
  <c r="J103" i="43"/>
  <c r="J106" i="43"/>
  <c r="D6" i="6"/>
  <c r="I103" i="43"/>
  <c r="I102" i="43"/>
  <c r="I107" i="43"/>
  <c r="L105" i="43"/>
  <c r="L102" i="43"/>
  <c r="E109" i="43"/>
  <c r="E105" i="43"/>
  <c r="H107" i="43"/>
  <c r="H102" i="43"/>
  <c r="M106" i="43"/>
  <c r="M103" i="43"/>
  <c r="M102" i="43"/>
  <c r="E106" i="43"/>
  <c r="E103" i="43"/>
  <c r="C19" i="86"/>
  <c r="C20" i="86" s="1"/>
  <c r="C18" i="87"/>
  <c r="C15" i="87"/>
  <c r="C24" i="11"/>
  <c r="C22" i="11" s="1"/>
  <c r="C31" i="11" s="1"/>
  <c r="D113" i="43"/>
  <c r="J22" i="43" s="1"/>
  <c r="C37" i="11"/>
  <c r="D20" i="12"/>
  <c r="C20" i="12" s="1"/>
  <c r="C18" i="12" s="1"/>
  <c r="H109" i="43"/>
  <c r="H104" i="43"/>
  <c r="C34" i="11"/>
  <c r="C38" i="11" s="1"/>
  <c r="G105" i="43"/>
  <c r="G106" i="43"/>
  <c r="G102" i="43"/>
  <c r="G107" i="43"/>
  <c r="G104" i="43"/>
  <c r="G109" i="43"/>
  <c r="G103" i="43"/>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5" i="11" l="1"/>
  <c r="C19" i="87"/>
  <c r="C20" i="87" s="1"/>
  <c r="C23" i="87" s="1"/>
  <c r="C26" i="86"/>
  <c r="C23" i="86"/>
  <c r="S2" i="43"/>
  <c r="T2" i="43" s="1"/>
  <c r="V2" i="43" s="1"/>
  <c r="S7" i="43"/>
  <c r="T7" i="43" s="1"/>
  <c r="V7" i="43" s="1"/>
  <c r="S5" i="43"/>
  <c r="T5" i="43" s="1"/>
  <c r="V5" i="43" s="1"/>
  <c r="S3" i="43"/>
  <c r="T3" i="43" s="1"/>
  <c r="V3" i="43" s="1"/>
  <c r="S6" i="43"/>
  <c r="T6" i="43" s="1"/>
  <c r="V6" i="43" s="1"/>
  <c r="C23" i="43"/>
  <c r="C21" i="43" s="1"/>
  <c r="C29" i="43" s="1"/>
  <c r="E29" i="43" s="1"/>
  <c r="C26" i="43" s="1"/>
  <c r="S4" i="43"/>
  <c r="T4" i="43" s="1"/>
  <c r="V4" i="43" s="1"/>
  <c r="R12" i="1"/>
  <c r="R13" i="1"/>
  <c r="R10" i="1"/>
  <c r="R11" i="1"/>
  <c r="R9" i="1"/>
  <c r="R8" i="1"/>
  <c r="R7" i="1"/>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6"/>
  <c r="F35" i="67"/>
  <c r="F35" i="86"/>
  <c r="B6" i="76"/>
  <c r="M21" i="87"/>
  <c r="F35" i="15"/>
  <c r="F35" i="87"/>
  <c r="M21" i="15"/>
  <c r="M21" i="67"/>
  <c r="C29" i="86" l="1"/>
  <c r="J19" i="86" s="1"/>
  <c r="C26" i="87"/>
  <c r="C29" i="87" s="1"/>
  <c r="C30" i="43"/>
  <c r="E30" i="43" s="1"/>
  <c r="C27" i="43" s="1"/>
  <c r="C6" i="68"/>
  <c r="F63" i="87"/>
  <c r="C62" i="87" s="1"/>
  <c r="C34" i="87"/>
  <c r="J20" i="87"/>
  <c r="F63" i="86"/>
  <c r="C62" i="86" s="1"/>
  <c r="C34" i="86"/>
  <c r="J20" i="86"/>
  <c r="I5" i="6"/>
  <c r="B2" i="76"/>
  <c r="B3" i="43"/>
  <c r="C49" i="21"/>
  <c r="F63" i="67"/>
  <c r="C62" i="67" s="1"/>
  <c r="C34" i="67"/>
  <c r="J20" i="67"/>
  <c r="C24" i="68"/>
  <c r="J20" i="15"/>
  <c r="F63" i="15"/>
  <c r="C62" i="15" s="1"/>
  <c r="C34" i="15"/>
  <c r="R16" i="1"/>
  <c r="C22" i="12"/>
  <c r="C30" i="12" s="1"/>
  <c r="C28" i="12" s="1"/>
  <c r="C33" i="68"/>
  <c r="I63" i="40"/>
  <c r="H65" i="40"/>
  <c r="C39" i="11"/>
  <c r="C43" i="11" s="1"/>
  <c r="C41" i="11" s="1"/>
  <c r="I70" i="39"/>
  <c r="E6" i="76"/>
  <c r="C57" i="86" l="1"/>
  <c r="J14" i="86"/>
  <c r="J22" i="86" s="1"/>
  <c r="Q49" i="86"/>
  <c r="J17" i="86"/>
  <c r="C13" i="86"/>
  <c r="Q70" i="86" s="1"/>
  <c r="C33" i="86"/>
  <c r="C36" i="86"/>
  <c r="C31" i="86"/>
  <c r="C75" i="86"/>
  <c r="J13" i="86"/>
  <c r="J23" i="86" s="1"/>
  <c r="C57" i="87"/>
  <c r="J14" i="87"/>
  <c r="C36" i="87"/>
  <c r="J19" i="87"/>
  <c r="C33" i="87"/>
  <c r="C31" i="87" s="1"/>
  <c r="Q49" i="87"/>
  <c r="C13" i="87"/>
  <c r="J17" i="87"/>
  <c r="E2" i="76"/>
  <c r="B3" i="76" s="1"/>
  <c r="C7" i="68"/>
  <c r="C5" i="68" s="1"/>
  <c r="C27" i="12"/>
  <c r="C25" i="12" s="1"/>
  <c r="C32" i="12" s="1"/>
  <c r="B2" i="12" s="1"/>
  <c r="B3" i="12" s="1"/>
  <c r="C39" i="68"/>
  <c r="C43" i="68" s="1"/>
  <c r="C42" i="68"/>
  <c r="J63" i="40"/>
  <c r="I65" i="40"/>
  <c r="C46" i="11"/>
  <c r="C45" i="11" s="1"/>
  <c r="C49" i="11" s="1"/>
  <c r="C51" i="11" s="1"/>
  <c r="C52" i="11" s="1"/>
  <c r="B2" i="11" s="1"/>
  <c r="B3" i="11" s="1"/>
  <c r="J70" i="39"/>
  <c r="C37" i="86" l="1"/>
  <c r="C56" i="86"/>
  <c r="C65" i="86" s="1"/>
  <c r="C30" i="86"/>
  <c r="C39" i="86" s="1"/>
  <c r="Q69" i="86" s="1"/>
  <c r="Q68" i="86" s="1"/>
  <c r="C61" i="86"/>
  <c r="C59" i="86" s="1"/>
  <c r="C64" i="86"/>
  <c r="J16" i="86"/>
  <c r="J25" i="86" s="1"/>
  <c r="J13" i="87"/>
  <c r="J23" i="87" s="1"/>
  <c r="J22" i="87"/>
  <c r="Q70" i="87"/>
  <c r="C75" i="87"/>
  <c r="C37" i="87"/>
  <c r="C30" i="87" s="1"/>
  <c r="C39" i="87" s="1"/>
  <c r="C56" i="87"/>
  <c r="C65" i="87" s="1"/>
  <c r="C64" i="87"/>
  <c r="C61" i="87"/>
  <c r="C59" i="87" s="1"/>
  <c r="C23" i="68"/>
  <c r="C20" i="68"/>
  <c r="C41" i="68"/>
  <c r="C46" i="68"/>
  <c r="C45" i="68" s="1"/>
  <c r="K63" i="40"/>
  <c r="J65" i="40"/>
  <c r="K70" i="39"/>
  <c r="C56" i="11"/>
  <c r="C57" i="11" s="1"/>
  <c r="L51" i="87"/>
  <c r="L51" i="86"/>
  <c r="C80" i="86" l="1"/>
  <c r="C79" i="86" s="1"/>
  <c r="C58" i="86"/>
  <c r="C67" i="86" s="1"/>
  <c r="Q67" i="86"/>
  <c r="C58" i="87"/>
  <c r="C67" i="87" s="1"/>
  <c r="J16" i="87"/>
  <c r="J25" i="87" s="1"/>
  <c r="Q67" i="87"/>
  <c r="C80" i="87"/>
  <c r="C79" i="87" s="1"/>
  <c r="Q69" i="87"/>
  <c r="Q68" i="87" s="1"/>
  <c r="C28" i="68"/>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F41" i="86"/>
  <c r="F41" i="87"/>
  <c r="F69" i="87" l="1"/>
  <c r="C68" i="87" s="1"/>
  <c r="J29" i="87"/>
  <c r="C40" i="87"/>
  <c r="F45" i="87" s="1"/>
  <c r="F69" i="86"/>
  <c r="C68" i="86" s="1"/>
  <c r="J29" i="86"/>
  <c r="C40" i="86"/>
  <c r="C66" i="15"/>
  <c r="C60" i="15"/>
  <c r="C59" i="15" s="1"/>
  <c r="AG6" i="1"/>
  <c r="C80" i="15"/>
  <c r="C79" i="15" s="1"/>
  <c r="C65" i="15"/>
  <c r="Q68" i="15"/>
  <c r="L57" i="15"/>
  <c r="L60" i="15" s="1"/>
  <c r="F41" i="15"/>
  <c r="L51" i="15"/>
  <c r="F41" i="67"/>
  <c r="M27" i="67"/>
  <c r="M27" i="15"/>
  <c r="Q67" i="15" l="1"/>
  <c r="Q47" i="87"/>
  <c r="Q53" i="87" s="1"/>
  <c r="B2" i="87"/>
  <c r="B3" i="87" s="1"/>
  <c r="Q65" i="87"/>
  <c r="Q75" i="87" s="1"/>
  <c r="Q56" i="87"/>
  <c r="Q62" i="87" s="1"/>
  <c r="C43" i="87"/>
  <c r="C83" i="87"/>
  <c r="C82" i="87" s="1"/>
  <c r="C71" i="87"/>
  <c r="C46" i="87"/>
  <c r="Q47" i="86"/>
  <c r="Q53" i="86" s="1"/>
  <c r="B2" i="86"/>
  <c r="B3" i="86" s="1"/>
  <c r="Q65" i="86"/>
  <c r="Q75" i="86" s="1"/>
  <c r="Q56" i="86"/>
  <c r="Q62" i="86" s="1"/>
  <c r="C43" i="86"/>
  <c r="C83" i="86"/>
  <c r="C82" i="86" s="1"/>
  <c r="C71" i="86"/>
  <c r="C46" i="86"/>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E2" i="68"/>
  <c r="D2" i="33"/>
  <c r="F20" i="31"/>
  <c r="D2" i="34"/>
  <c r="C19" i="9"/>
  <c r="D2" i="21"/>
  <c r="D2" i="37"/>
  <c r="D2" i="35"/>
  <c r="D2" i="36"/>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D27" i="9" s="1"/>
  <c r="H25" i="9" l="1"/>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0" i="9" l="1"/>
  <c r="N61" i="9"/>
  <c r="P22" i="43"/>
  <c r="P23" i="43"/>
  <c r="B71" i="39" s="1"/>
  <c r="P24" i="43"/>
  <c r="B66" i="40" s="1"/>
  <c r="P25" i="43"/>
  <c r="J59" i="80"/>
  <c r="J64" i="80"/>
  <c r="J61" i="80"/>
  <c r="J63" i="80"/>
  <c r="J62" i="80"/>
  <c r="J65" i="80" l="1"/>
  <c r="K65" i="80" s="1"/>
  <c r="J69" i="80"/>
  <c r="J71" i="80"/>
  <c r="J74" i="80"/>
  <c r="J72" i="80"/>
  <c r="J73" i="80"/>
  <c r="J75" i="80" l="1"/>
  <c r="K75" i="80" s="1"/>
  <c r="K78"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<sst xmlns="http://schemas.openxmlformats.org/spreadsheetml/2006/main" count="8230" uniqueCount="3147">
  <si>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</si>
  <si>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</si>
  <si>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</si>
  <si>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</si>
  <si>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</si>
  <si>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</si>
  <si>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</si>
  <si>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</si>
  <si>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</si>
  <si>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</si>
  <si>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</si>
  <si>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</si>
  <si>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</si>
  <si>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</si>
  <si>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</si>
  <si>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</si>
  <si>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</si>
  <si>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</si>
  <si>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</si>
  <si>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</si>
  <si>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</si>
  <si>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</si>
  <si>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</si>
  <si>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</si>
  <si>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</si>
  <si>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</si>
  <si>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</si>
  <si>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</si>
  <si>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</si>
  <si>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</si>
  <si>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</si>
  <si>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</si>
  <si>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</si>
  <si>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</si>
  <si>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</si>
  <si>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</si>
  <si>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</si>
  <si>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</si>
  <si>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</si>
  <si>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</si>
  <si>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</si>
  <si>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</si>
  <si>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</si>
  <si>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</si>
  <si>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</si>
  <si>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</si>
  <si>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</si>
  <si>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</si>
  <si>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</si>
  <si>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</si>
  <si>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</si>
  <si>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</si>
  <si>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</si>
  <si>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</si>
  <si>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</si>
  <si>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</si>
  <si>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</si>
  <si>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</si>
  <si>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</si>
  <si>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</si>
  <si>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</si>
  <si>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</si>
  <si>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</si>
  <si>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</si>
  <si>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</si>
  <si>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</si>
  <si>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</si>
  <si>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</si>
  <si>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</si>
  <si>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</si>
  <si>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</si>
  <si>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</si>
  <si>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</si>
  <si>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</si>
  <si>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</si>
  <si>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</si>
  <si>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</si>
  <si>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</si>
  <si>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</si>
  <si>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</si>
  <si>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</si>
  <si>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</si>
  <si>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</si>
  <si>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</si>
  <si>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</si>
  <si>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</si>
  <si>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</si>
  <si>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</si>
  <si>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</si>
  <si>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</si>
  <si>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</si>
  <si>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</si>
  <si>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</si>
  <si>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</si>
  <si>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</si>
  <si>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</si>
  <si>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</si>
  <si>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</si>
  <si>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</si>
  <si>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</si>
  <si>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</si>
  <si>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</si>
  <si>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</si>
  <si>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</si>
  <si>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</si>
  <si>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</si>
  <si>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</si>
  <si>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</si>
  <si>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</si>
  <si>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</si>
  <si>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</si>
  <si>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</si>
  <si>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</si>
  <si>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</si>
  <si>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</si>
  <si>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</si>
  <si>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</si>
  <si>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</si>
  <si>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</si>
  <si>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</si>
  <si>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</si>
  <si>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</si>
  <si>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</si>
  <si>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</si>
  <si>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</si>
  <si>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</si>
  <si>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</si>
  <si>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</si>
  <si>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</si>
  <si>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</si>
  <si>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</si>
  <si>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</si>
  <si>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</si>
  <si>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</si>
  <si>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</si>
  <si>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</si>
  <si>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</si>
  <si>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</si>
  <si>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</si>
  <si>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</si>
  <si>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</si>
  <si>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</si>
  <si>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</si>
  <si>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</si>
  <si>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</si>
  <si>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</si>
  <si>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</si>
  <si>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</si>
  <si>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</si>
  <si>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</si>
  <si>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</si>
  <si>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</si>
  <si>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</si>
  <si>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</si>
  <si>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</si>
  <si>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</si>
  <si>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</si>
  <si>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</si>
  <si>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</si>
  <si>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</si>
  <si>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</si>
  <si>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</si>
  <si>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</si>
  <si>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</si>
  <si>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</si>
  <si>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</si>
  <si>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</si>
  <si>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</si>
  <si>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</si>
  <si>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</si>
  <si>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</si>
  <si>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</si>
  <si>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</si>
  <si>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</si>
  <si>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</si>
  <si>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</si>
  <si>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</si>
  <si>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</si>
  <si>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</si>
  <si>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</si>
  <si>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</si>
  <si>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</si>
  <si>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</si>
  <si>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</si>
  <si>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</si>
  <si>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</si>
  <si>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</si>
  <si>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</si>
  <si>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</si>
  <si>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</si>
  <si>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</si>
  <si>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</si>
  <si>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</si>
  <si>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</si>
  <si>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</si>
  <si>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</si>
  <si>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</si>
  <si>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</si>
  <si>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</si>
  <si>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</si>
  <si>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</si>
  <si>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</si>
  <si>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</si>
  <si>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</si>
  <si>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</si>
  <si>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</si>
  <si>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</si>
  <si>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</si>
  <si>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</si>
  <si>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</si>
  <si>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</si>
  <si>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</si>
  <si>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</si>
  <si>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</si>
  <si>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</si>
  <si>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</si>
  <si>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</si>
  <si>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</si>
  <si>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</si>
  <si>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</si>
  <si>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</si>
  <si>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</si>
  <si>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</si>
  <si>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</si>
  <si>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</si>
  <si>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</si>
  <si>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</si>
  <si>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</si>
  <si>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</si>
  <si>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</si>
  <si>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</si>
  <si>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</si>
  <si>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</si>
  <si>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</si>
  <si>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</si>
  <si>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</si>
  <si>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</si>
  <si>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</si>
  <si>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</si>
  <si>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</si>
  <si>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</si>
  <si>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</si>
  <si>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</si>
  <si>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</si>
  <si>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</si>
  <si>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</si>
  <si>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</si>
  <si>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</si>
  <si>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</si>
  <si>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</si>
  <si>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</si>
  <si>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</si>
  <si>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</si>
  <si>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</si>
  <si>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</si>
  <si>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</si>
  <si>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</si>
  <si>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</si>
  <si>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</si>
  <si>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</si>
  <si>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</si>
  <si>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</si>
  <si>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</si>
  <si>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</si>
  <si>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</si>
  <si>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</si>
  <si>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</si>
  <si>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</si>
  <si>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</si>
  <si>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</si>
  <si>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</si>
  <si>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</si>
  <si>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</si>
  <si>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</si>
  <si>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</si>
  <si>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</si>
  <si>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</si>
  <si>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</si>
  <si>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</si>
  <si>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</si>
  <si>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</si>
  <si>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</si>
  <si>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</si>
  <si>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</si>
  <si>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</si>
  <si>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</si>
  <si>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</si>
  <si>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</si>
  <si>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</si>
  <si>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</si>
  <si>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</si>
  <si>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</si>
  <si>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</si>
  <si>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</si>
  <si>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</si>
  <si>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</si>
  <si>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</si>
  <si>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</si>
  <si>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</si>
  <si>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</si>
  <si>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</si>
  <si>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</si>
  <si>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</si>
  <si>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</si>
  <si>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</si>
  <si>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</si>
  <si>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</si>
  <si>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</si>
  <si>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</si>
  <si>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</si>
  <si>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</si>
  <si>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</si>
  <si>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</si>
  <si>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</si>
  <si>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</si>
  <si>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</si>
  <si>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</si>
  <si>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</si>
  <si>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</si>
  <si>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</si>
  <si>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</si>
  <si>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</si>
  <si>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</si>
  <si>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</si>
  <si>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</si>
  <si>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</si>
  <si>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</si>
  <si>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</si>
  <si>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</si>
  <si>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</si>
  <si>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</si>
  <si>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</si>
  <si>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</si>
  <si>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</si>
  <si>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</si>
  <si>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</si>
  <si>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</si>
  <si>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</si>
  <si>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</si>
  <si>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</si>
  <si>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</si>
  <si>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</si>
  <si>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</si>
  <si>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</si>
  <si>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</si>
  <si>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</si>
  <si>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</si>
  <si>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</si>
  <si>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</si>
  <si>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</si>
  <si>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</si>
  <si>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</si>
  <si>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</si>
  <si>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</si>
  <si>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</si>
  <si>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</si>
  <si>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</si>
  <si>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</si>
  <si>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</si>
  <si>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</si>
  <si>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</si>
  <si>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</si>
  <si>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</si>
  <si>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</si>
  <si>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</si>
  <si>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</si>
  <si>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</si>
  <si>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</si>
  <si>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</si>
  <si>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</si>
  <si>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</si>
  <si>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</si>
  <si>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</si>
  <si>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</si>
  <si>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</si>
  <si>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</si>
  <si>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</si>
  <si>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</si>
  <si>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</si>
  <si>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</si>
  <si>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</si>
  <si>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</si>
  <si>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</si>
  <si>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</si>
  <si>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</si>
  <si>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</si>
  <si>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</si>
  <si>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</si>
  <si>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</si>
  <si>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</si>
  <si>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</si>
  <si>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</si>
  <si>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</si>
  <si>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</si>
  <si>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</si>
  <si>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</si>
  <si>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</si>
  <si>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</si>
  <si>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</si>
  <si>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</si>
  <si>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</si>
  <si>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</si>
  <si>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</si>
  <si>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</si>
  <si>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</si>
  <si>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</si>
  <si>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</si>
  <si>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</si>
  <si>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</si>
  <si>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</si>
  <si>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</si>
  <si>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</si>
  <si>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</si>
  <si>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</si>
  <si>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</si>
  <si>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</si>
  <si>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</si>
  <si>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</si>
  <si>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</si>
  <si>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</si>
  <si>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</si>
  <si>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</si>
  <si>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</si>
  <si>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</si>
  <si>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</si>
  <si>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</si>
  <si>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</si>
  <si>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</si>
  <si>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</si>
  <si>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</si>
  <si>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</si>
  <si>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</si>
  <si>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</si>
  <si>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</si>
  <si>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</si>
  <si>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</si>
  <si>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</si>
  <si>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</si>
  <si>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</si>
  <si>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</si>
  <si>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</si>
  <si>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</si>
  <si>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</si>
  <si>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</si>
  <si>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</si>
  <si>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</si>
  <si>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</si>
  <si>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</si>
  <si>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</si>
  <si>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</si>
  <si>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</si>
  <si>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</si>
  <si>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</si>
  <si>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</si>
  <si>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</si>
  <si>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</si>
  <si>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</si>
  <si>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</si>
  <si>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</si>
  <si>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</si>
  <si>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</si>
  <si>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</si>
  <si>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</si>
  <si>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</si>
  <si>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</si>
  <si>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</si>
  <si>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</si>
  <si>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</si>
  <si>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</si>
  <si>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</si>
  <si>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</si>
  <si>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</si>
  <si>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</si>
  <si>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</si>
  <si>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</si>
  <si>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</si>
  <si>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</si>
  <si>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</si>
  <si>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</si>
  <si>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</si>
  <si>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</si>
  <si>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</si>
  <si>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</si>
  <si>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</si>
  <si>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</si>
  <si>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</si>
  <si>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</si>
  <si>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</si>
  <si>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</si>
  <si>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</si>
  <si>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</si>
  <si>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</si>
  <si>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</si>
  <si>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</si>
  <si>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</si>
  <si>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</si>
  <si>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</si>
  <si>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</si>
  <si>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</si>
  <si>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</si>
  <si>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</si>
  <si>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</si>
  <si>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</si>
  <si>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</si>
  <si>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</si>
  <si>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</si>
  <si>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</si>
  <si>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</si>
  <si>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</si>
  <si>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</si>
  <si>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</si>
  <si>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</si>
  <si>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</si>
  <si>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</si>
  <si>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</si>
  <si>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</si>
  <si>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</si>
  <si>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</si>
  <si>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</si>
  <si>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</si>
  <si>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</si>
  <si>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</si>
  <si>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</si>
  <si>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</si>
  <si>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</si>
  <si>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</si>
  <si>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</si>
  <si>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</si>
  <si>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</si>
  <si>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</si>
  <si>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</si>
  <si>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</si>
  <si>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</si>
  <si>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</si>
  <si>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</si>
  <si>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</si>
  <si>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</si>
  <si>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</si>
  <si>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</si>
  <si>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</si>
  <si>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</si>
  <si>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</si>
  <si>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</si>
  <si>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</si>
  <si>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</si>
  <si>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</si>
  <si>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</si>
  <si>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</si>
  <si>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</si>
  <si>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</si>
  <si>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</si>
  <si>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</si>
  <si>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</si>
  <si>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</si>
  <si>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</si>
  <si>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</si>
  <si>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</si>
  <si>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</si>
  <si>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</si>
  <si>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</si>
  <si>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</si>
  <si>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</si>
  <si>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</si>
  <si>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</si>
  <si>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</si>
  <si>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</si>
  <si>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</si>
  <si>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</si>
  <si>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</si>
  <si>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</si>
  <si>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</si>
  <si>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</si>
  <si>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</si>
  <si>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</si>
  <si>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</si>
  <si>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</si>
  <si>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</si>
  <si>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</si>
  <si>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</si>
  <si>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</si>
  <si>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</si>
  <si>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</si>
  <si>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</si>
  <si>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</si>
  <si>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</si>
  <si>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</si>
  <si>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</si>
  <si>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</si>
  <si>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</si>
  <si>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</si>
  <si>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</si>
  <si>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</si>
  <si>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</si>
  <si>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</si>
  <si>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</si>
  <si>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</si>
  <si>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</si>
  <si>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</si>
  <si>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</si>
  <si>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</si>
  <si>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</si>
  <si>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</si>
  <si>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</si>
  <si>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</si>
  <si>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</si>
  <si>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</si>
  <si>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</si>
  <si>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</si>
  <si>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</si>
  <si>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</si>
  <si>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</si>
  <si>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</si>
  <si>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</si>
  <si>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</si>
  <si>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</si>
  <si>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</si>
  <si>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</si>
  <si>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</si>
  <si>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</si>
  <si>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</si>
  <si>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</si>
  <si>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</si>
  <si>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</si>
  <si>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</si>
  <si>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</si>
  <si>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</si>
  <si>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</si>
  <si>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</si>
  <si>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</si>
  <si>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</si>
  <si>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</si>
  <si>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</si>
  <si>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</si>
  <si>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</si>
  <si>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</si>
  <si>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</si>
  <si>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</si>
  <si>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</si>
  <si>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</si>
  <si>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</si>
  <si>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</si>
  <si>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</si>
  <si>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</si>
  <si>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</si>
  <si>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</si>
  <si>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</si>
  <si>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</si>
  <si>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</si>
  <si>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</si>
  <si>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</si>
  <si>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</si>
  <si>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</si>
  <si>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</si>
  <si>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</si>
  <si>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</si>
  <si>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</si>
  <si>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</si>
  <si>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</si>
  <si>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</si>
  <si>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</si>
  <si>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</si>
  <si>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</si>
  <si>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</si>
  <si>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</si>
  <si>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</si>
  <si>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</si>
  <si>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</si>
  <si>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</si>
  <si>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</si>
  <si>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</si>
  <si>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</si>
  <si>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</si>
  <si>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</si>
  <si>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</si>
  <si>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</si>
  <si>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</si>
  <si>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</si>
  <si>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</si>
  <si>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</si>
  <si>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</si>
  <si>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</si>
  <si>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</si>
  <si>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</si>
  <si>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</si>
  <si>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</si>
  <si>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</si>
  <si>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</si>
  <si>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</si>
  <si>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</si>
  <si>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</si>
  <si>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</si>
  <si>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</si>
  <si>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</si>
  <si>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</si>
  <si>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</si>
  <si>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</si>
  <si>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</si>
  <si>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</si>
  <si>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</si>
  <si>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</si>
  <si>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</si>
  <si>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</si>
  <si>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</si>
  <si>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</si>
  <si>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</si>
  <si>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</si>
  <si>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</si>
  <si>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</si>
  <si>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</si>
  <si>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</si>
  <si>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</si>
  <si>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</si>
  <si>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</si>
  <si>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</si>
  <si>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</si>
  <si>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</si>
  <si>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</si>
  <si>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</si>
  <si>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</si>
  <si>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</si>
  <si>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</si>
  <si>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</si>
  <si>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</si>
  <si>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</si>
  <si>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</si>
  <si>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</si>
  <si>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</si>
  <si>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</si>
  <si>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</si>
  <si>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</si>
  <si>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</si>
  <si>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</si>
  <si>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</si>
  <si>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</si>
  <si>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</si>
  <si>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</si>
  <si>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</si>
  <si>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</si>
  <si>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</si>
  <si>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</si>
  <si>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</si>
  <si>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</si>
  <si>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</si>
  <si>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</si>
  <si>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</si>
  <si>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</si>
  <si>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</si>
  <si>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</si>
  <si>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</si>
  <si>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</si>
  <si>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</si>
  <si>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</si>
  <si>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</si>
  <si>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</si>
  <si>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</si>
  <si>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</si>
  <si>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</si>
  <si>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</si>
  <si>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</si>
  <si>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</si>
  <si>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</si>
  <si>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</si>
  <si>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</si>
  <si>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</si>
  <si>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</si>
  <si>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</si>
  <si>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</si>
  <si>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</si>
  <si>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</si>
  <si>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</si>
  <si>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</si>
  <si>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</si>
  <si>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</si>
  <si>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</si>
  <si>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</si>
  <si>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</si>
  <si>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</si>
  <si>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</si>
  <si>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</si>
  <si>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</si>
  <si>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</si>
  <si>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</si>
  <si>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</si>
  <si>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</si>
  <si>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</si>
  <si>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</si>
  <si>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</si>
  <si>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</si>
  <si>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</si>
  <si>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</si>
  <si>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</si>
  <si>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</si>
  <si>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</si>
  <si>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</si>
  <si>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</si>
  <si>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</si>
  <si>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</si>
  <si>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</si>
  <si>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</si>
  <si>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</si>
  <si>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</si>
  <si>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</si>
  <si>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</si>
  <si>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</si>
  <si>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</si>
  <si>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</si>
  <si>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</si>
  <si>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</si>
  <si>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</si>
  <si>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</si>
  <si>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</si>
  <si>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</si>
  <si>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</si>
  <si>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</si>
  <si>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</si>
  <si>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</si>
  <si>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</si>
  <si>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</si>
  <si>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</si>
  <si>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</si>
  <si>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</si>
  <si>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</si>
  <si>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</si>
  <si>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</si>
  <si>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</si>
  <si>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</si>
  <si>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</si>
  <si>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</si>
  <si>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</si>
  <si>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</si>
  <si>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</si>
  <si>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</si>
  <si>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</si>
  <si>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</si>
  <si>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</si>
  <si>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</si>
  <si>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</si>
  <si>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</si>
  <si>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</si>
  <si>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</si>
  <si>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</si>
  <si>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</si>
  <si>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</si>
  <si>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</si>
  <si>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</si>
  <si>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</si>
  <si>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</si>
  <si>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</si>
  <si>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</si>
  <si>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</si>
  <si>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</si>
  <si>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</si>
  <si>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</si>
  <si>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</si>
  <si>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</si>
  <si>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</si>
  <si>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</si>
  <si>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</si>
  <si>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</si>
  <si>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</si>
  <si>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</si>
  <si>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</si>
  <si>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</si>
  <si>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</si>
  <si>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</si>
  <si>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</si>
  <si>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</si>
  <si>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</si>
  <si>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</si>
  <si>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</si>
  <si>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</si>
  <si>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</si>
  <si>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</si>
  <si>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</si>
  <si>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</si>
  <si>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</si>
  <si>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</si>
  <si>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</si>
  <si>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</si>
  <si>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</si>
  <si>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</si>
  <si>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</si>
  <si>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</si>
  <si>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</si>
  <si>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</si>
  <si>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</si>
  <si>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</si>
  <si>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</si>
  <si>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</si>
  <si>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</si>
  <si>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</si>
  <si>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</si>
  <si>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</si>
  <si>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</si>
  <si>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</si>
  <si>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</si>
  <si>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</si>
  <si>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</si>
  <si>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</si>
  <si>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</si>
  <si>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</si>
  <si>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</si>
  <si>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</si>
  <si>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</si>
  <si>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</si>
  <si>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</si>
  <si>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</si>
  <si>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</si>
  <si>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</si>
  <si>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</si>
  <si>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</si>
  <si>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</si>
  <si>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</si>
  <si>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</si>
  <si>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</si>
  <si>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</si>
  <si>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</si>
  <si>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</si>
  <si>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</si>
  <si>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</si>
  <si>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</si>
  <si>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</si>
  <si>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</si>
  <si>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</si>
  <si>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</si>
  <si>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</si>
  <si>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</si>
  <si>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</si>
  <si>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</si>
  <si>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</si>
  <si>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</si>
  <si>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</si>
  <si>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</si>
  <si>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</si>
  <si>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</si>
  <si>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</si>
  <si>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</si>
  <si>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</si>
  <si>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</si>
  <si>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</si>
  <si>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</si>
  <si>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</si>
  <si>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</si>
  <si>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</si>
  <si>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</si>
  <si>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</si>
  <si>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</si>
  <si>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</si>
  <si>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</si>
  <si>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</si>
  <si>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</si>
  <si>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</si>
  <si>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</si>
  <si>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</si>
  <si>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</si>
  <si>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</si>
  <si>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</si>
  <si>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</si>
  <si>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</si>
  <si>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</si>
  <si>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</si>
  <si>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</si>
  <si>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</si>
  <si>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</si>
  <si>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</si>
  <si>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</si>
  <si>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</si>
  <si>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</si>
  <si>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</si>
  <si>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</si>
  <si>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</si>
  <si>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</si>
  <si>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</si>
  <si>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</si>
  <si>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</si>
  <si>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</si>
  <si>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</si>
  <si>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</si>
  <si>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</si>
  <si>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</si>
  <si>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</si>
  <si>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</si>
  <si>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</si>
  <si>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</si>
  <si>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</si>
  <si>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</si>
  <si>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</si>
  <si>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</si>
  <si>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</si>
  <si>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</si>
  <si>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</si>
  <si>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</si>
  <si>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</si>
  <si>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</si>
  <si>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</si>
  <si>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</si>
  <si>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</si>
  <si>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</si>
  <si>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</si>
  <si>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</si>
  <si>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</si>
  <si>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</si>
  <si>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</si>
  <si>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</si>
  <si>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</si>
  <si>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</si>
  <si>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</si>
  <si>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</si>
  <si>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</si>
  <si>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</si>
  <si>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</si>
  <si>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</si>
  <si>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</si>
  <si>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</si>
  <si>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</si>
  <si>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</si>
  <si>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</si>
  <si>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</si>
  <si>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</si>
  <si>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</si>
  <si>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</si>
  <si>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</si>
  <si>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</si>
  <si>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</si>
  <si>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</si>
  <si>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</si>
  <si>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</si>
  <si>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</si>
  <si>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</si>
  <si>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</si>
  <si>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</si>
  <si>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</si>
  <si>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</si>
  <si>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</si>
  <si>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</si>
  <si>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</si>
  <si>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</si>
  <si>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</si>
  <si>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</si>
  <si>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</si>
  <si>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</si>
  <si>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</si>
  <si>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</si>
  <si>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</si>
  <si>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</si>
  <si>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</si>
  <si>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</si>
  <si>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</si>
  <si>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</si>
  <si>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</si>
  <si>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</si>
  <si>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</si>
  <si>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</si>
  <si>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</si>
  <si>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</si>
  <si>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</si>
  <si>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</si>
  <si>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</si>
  <si>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</si>
  <si>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</si>
  <si>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</si>
  <si>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</si>
  <si>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</si>
  <si>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</si>
  <si>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</si>
  <si>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</si>
  <si>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</si>
  <si>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</si>
  <si>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</si>
  <si>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</si>
  <si>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</si>
  <si>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</si>
  <si>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</si>
  <si>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</si>
  <si>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</si>
  <si>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</si>
  <si>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</si>
  <si>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</si>
  <si>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</si>
  <si>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</si>
  <si>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</si>
  <si>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</si>
  <si>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</si>
  <si>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</si>
  <si>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</si>
  <si>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</si>
  <si>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</si>
  <si>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</si>
  <si>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</si>
  <si>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</si>
  <si>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</si>
  <si>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</si>
  <si>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</si>
  <si>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</si>
  <si>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</si>
  <si>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</si>
  <si>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</si>
  <si>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</si>
  <si>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</si>
  <si>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</si>
  <si>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</si>
  <si>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</si>
  <si>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</si>
  <si>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</si>
  <si>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</si>
  <si>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</si>
  <si>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</si>
  <si>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</si>
  <si>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</si>
  <si>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</si>
  <si>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</si>
  <si>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</si>
  <si>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</si>
  <si>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</si>
  <si>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</si>
  <si>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</si>
  <si>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</si>
  <si>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</si>
  <si>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</si>
  <si>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</si>
  <si>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</si>
  <si>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</si>
  <si>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</si>
  <si>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</si>
  <si>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</si>
  <si>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</si>
  <si>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</si>
  <si>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</si>
  <si>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</si>
  <si>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</si>
  <si>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</si>
  <si>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</si>
  <si>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</si>
  <si>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</si>
  <si>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</si>
  <si>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</si>
  <si>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</si>
  <si>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</si>
  <si>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</si>
  <si>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</si>
  <si>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</si>
  <si>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</si>
  <si>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</si>
  <si>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</si>
  <si>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</si>
  <si>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</si>
  <si>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</si>
  <si>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</si>
  <si>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</si>
  <si>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</si>
  <si>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</si>
  <si>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</si>
  <si>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</si>
  <si>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</si>
  <si>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</si>
  <si>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</si>
  <si>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</si>
  <si>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</si>
  <si>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</si>
  <si>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</si>
  <si>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</si>
  <si>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</si>
  <si>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</si>
  <si>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</si>
  <si>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</si>
  <si>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</si>
  <si>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</si>
  <si>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</si>
  <si>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</si>
  <si>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</si>
  <si>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</si>
  <si>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</si>
  <si>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</si>
  <si>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</si>
  <si>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</si>
  <si>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</si>
  <si>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</si>
  <si>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</si>
  <si>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</si>
  <si>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</si>
  <si>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</si>
  <si>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</si>
  <si>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</si>
  <si>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</si>
  <si>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</si>
  <si>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</si>
  <si>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</si>
  <si>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</si>
  <si>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</si>
  <si>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</si>
  <si>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</si>
  <si>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</si>
  <si>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</si>
  <si>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</si>
  <si>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</si>
  <si>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</si>
  <si>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</si>
  <si>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</si>
  <si>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</si>
  <si>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</si>
  <si>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</si>
  <si>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</si>
  <si>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</si>
  <si>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</si>
  <si>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</si>
  <si>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</si>
  <si>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</si>
  <si>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</si>
  <si>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</si>
  <si>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</si>
  <si>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</si>
  <si>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</si>
  <si>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</si>
  <si>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</si>
  <si>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</si>
  <si>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</si>
  <si>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</si>
  <si>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</si>
  <si>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</si>
  <si>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</si>
  <si>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</si>
  <si>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</si>
  <si>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</si>
  <si>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</si>
  <si>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</si>
  <si>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</si>
  <si>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</si>
  <si>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</si>
  <si>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</si>
  <si>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</si>
  <si>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</si>
  <si>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</si>
  <si>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</si>
  <si>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</si>
  <si>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</si>
  <si>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</si>
  <si>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</si>
  <si>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</si>
  <si>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</si>
  <si>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</si>
  <si>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</si>
  <si>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</si>
  <si>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</si>
  <si>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</si>
  <si>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</si>
  <si>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</si>
  <si>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</si>
  <si>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</si>
  <si>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</si>
  <si>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</si>
  <si>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</si>
  <si>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</si>
  <si>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</si>
  <si>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</si>
  <si>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</si>
  <si>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</si>
  <si>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</si>
  <si>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</si>
  <si>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</si>
  <si>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</si>
  <si>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</si>
  <si>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</si>
  <si>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</si>
  <si>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</si>
  <si>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</si>
  <si>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</si>
  <si>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</si>
  <si>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</si>
  <si>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</si>
  <si>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</si>
  <si>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</si>
  <si>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</si>
  <si>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</si>
  <si>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</si>
  <si>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</si>
  <si>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</si>
  <si>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</si>
  <si>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</si>
  <si>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</si>
  <si>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</si>
  <si>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</si>
  <si>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</si>
  <si>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</si>
  <si>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</si>
  <si>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</si>
  <si>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</si>
  <si>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</si>
  <si>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</si>
  <si>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</si>
  <si>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</si>
  <si>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</si>
  <si>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</si>
  <si>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</si>
  <si>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</si>
  <si>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</si>
  <si>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</si>
  <si>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</si>
  <si>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</si>
  <si>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</si>
  <si>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</si>
  <si>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</si>
  <si>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</si>
  <si>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</si>
  <si>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</si>
  <si>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</si>
  <si>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</si>
  <si>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</si>
  <si>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</si>
  <si>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</si>
  <si>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</si>
  <si>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</si>
  <si>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</si>
  <si>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</si>
  <si>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</si>
  <si>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</si>
  <si>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</si>
  <si>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</si>
  <si>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</si>
  <si>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</si>
  <si>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</si>
  <si>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</si>
  <si>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</si>
  <si>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</si>
  <si>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</si>
  <si>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</si>
  <si>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</si>
  <si>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</si>
  <si>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</si>
  <si>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</si>
  <si>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</si>
  <si>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</si>
  <si>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</si>
  <si>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</si>
  <si>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</si>
  <si>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</si>
  <si>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</si>
  <si>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</si>
  <si>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</si>
  <si>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</si>
  <si>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</si>
  <si>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</si>
  <si>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</si>
  <si>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</si>
  <si>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</si>
  <si>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</si>
  <si>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</si>
  <si>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</si>
  <si>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</si>
  <si>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</si>
  <si>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</si>
  <si>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</si>
  <si>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</si>
  <si>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</si>
  <si>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</si>
  <si>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</si>
  <si>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</si>
  <si>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</si>
  <si>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</si>
  <si>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</si>
  <si>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</si>
  <si>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</si>
  <si>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</si>
  <si>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</si>
  <si>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</si>
  <si>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</si>
  <si>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</si>
  <si>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</si>
  <si>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</si>
  <si>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</si>
  <si>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</si>
  <si>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</si>
  <si>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</si>
  <si>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</si>
  <si>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</si>
  <si>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</si>
  <si>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</si>
  <si>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</si>
  <si>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</si>
  <si>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</si>
  <si>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</si>
  <si>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</si>
  <si>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</si>
  <si>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</si>
  <si>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</si>
  <si>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</si>
  <si>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</si>
  <si>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</si>
  <si>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</si>
  <si>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</si>
  <si>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</si>
  <si>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</si>
  <si>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</si>
  <si>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</si>
  <si>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</si>
  <si>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</si>
  <si>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</si>
  <si>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</si>
  <si>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</si>
  <si>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</si>
  <si>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</si>
  <si>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</si>
  <si>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</si>
  <si>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</si>
  <si>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</si>
  <si>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</si>
  <si>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</si>
  <si>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</si>
  <si>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</si>
  <si>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</si>
  <si>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</si>
  <si>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</si>
  <si>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</si>
  <si>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</si>
  <si>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</si>
  <si>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</si>
  <si>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</si>
  <si>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</si>
  <si>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</si>
  <si>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</si>
  <si>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</si>
  <si>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</si>
  <si>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</si>
  <si>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</si>
  <si>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</si>
  <si>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</si>
  <si>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</si>
  <si>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</si>
  <si>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</si>
  <si>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</si>
  <si>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</si>
  <si>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</si>
  <si>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</si>
  <si>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</si>
  <si>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</si>
  <si>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</si>
  <si>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</si>
  <si>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</si>
  <si>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</si>
  <si>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</si>
  <si>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</si>
  <si>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</si>
  <si>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</si>
  <si>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</si>
  <si>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</si>
  <si>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</si>
  <si>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</si>
  <si>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</si>
  <si>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</si>
  <si>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</si>
  <si>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</si>
  <si>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</si>
  <si>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</si>
  <si>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</si>
  <si>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</si>
  <si>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</si>
  <si>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</si>
  <si>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</si>
  <si>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</si>
  <si>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</si>
  <si>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</si>
  <si>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</si>
  <si>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</si>
  <si>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</si>
  <si>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</si>
  <si>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</si>
  <si>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</si>
  <si>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</si>
  <si>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</si>
  <si>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</si>
  <si>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</si>
  <si>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</si>
  <si>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</si>
  <si>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</si>
  <si>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</si>
  <si>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</si>
  <si>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</si>
  <si>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</si>
  <si>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</si>
  <si>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</si>
  <si>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</si>
  <si>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</si>
  <si>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</si>
  <si>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</si>
  <si>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</si>
  <si>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</si>
  <si>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</si>
  <si>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</si>
  <si>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</si>
  <si>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</si>
  <si>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</si>
  <si>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</si>
  <si>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</si>
  <si>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</si>
  <si>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</si>
  <si>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</si>
  <si>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</si>
  <si>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</si>
  <si>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</si>
  <si>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</si>
  <si>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</si>
  <si>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</si>
  <si>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</si>
  <si>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</si>
  <si>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</si>
  <si>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</si>
  <si>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</si>
  <si>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</si>
  <si>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</si>
  <si>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</si>
  <si>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</si>
  <si>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</si>
  <si>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</si>
  <si>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</si>
  <si>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</si>
  <si>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</si>
  <si>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</si>
  <si>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</si>
  <si>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</si>
  <si>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</si>
  <si>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</si>
  <si>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</si>
  <si>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</si>
  <si>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</si>
  <si>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</si>
  <si>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</si>
  <si>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</si>
  <si>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</si>
  <si>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</si>
  <si>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</si>
  <si>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</si>
  <si>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</si>
  <si>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</si>
  <si>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</si>
  <si>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</si>
  <si>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</si>
  <si>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</si>
  <si>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</si>
  <si>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</si>
  <si>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</si>
  <si>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</si>
  <si>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</si>
  <si>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</si>
  <si>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</si>
  <si>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</si>
  <si>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</si>
  <si>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</si>
  <si>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</si>
  <si>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</si>
  <si>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</si>
  <si>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</si>
  <si>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</si>
  <si>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</si>
  <si>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</si>
  <si>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</si>
  <si>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</si>
  <si>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</si>
  <si>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</si>
  <si>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</si>
  <si>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</si>
  <si>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</si>
  <si>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</si>
  <si>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</si>
  <si>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</si>
  <si>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</si>
  <si>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</si>
  <si>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</si>
  <si>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</si>
  <si>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</si>
  <si>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</si>
  <si>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</si>
  <si>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</si>
  <si>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</si>
  <si>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</si>
  <si>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</si>
  <si>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</si>
  <si>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</si>
  <si>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</si>
  <si>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</si>
  <si>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</si>
  <si>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</si>
  <si>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</si>
  <si>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</si>
  <si>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</si>
  <si>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</si>
  <si>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</si>
  <si>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</si>
  <si>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</si>
  <si>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</si>
  <si>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</si>
  <si>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</si>
  <si>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</si>
  <si>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</si>
  <si>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</si>
  <si>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</si>
  <si>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</si>
  <si>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</si>
  <si>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</si>
  <si>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</si>
  <si>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</si>
  <si>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</si>
  <si>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</si>
  <si>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</si>
  <si>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</si>
  <si>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</si>
  <si>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</si>
  <si>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</si>
  <si>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</si>
  <si>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</si>
  <si>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</si>
  <si>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</si>
  <si>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</si>
  <si>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</si>
  <si>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</si>
  <si>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</si>
  <si>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</si>
  <si>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</si>
  <si>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</si>
  <si>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</si>
  <si>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</si>
  <si>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</si>
  <si>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</si>
  <si>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</si>
  <si>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</si>
  <si>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</si>
  <si>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</si>
  <si>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</si>
  <si>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</si>
  <si>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</si>
  <si>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</si>
  <si>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</si>
  <si>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</si>
  <si>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</si>
  <si>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</si>
  <si>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</si>
  <si>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</si>
  <si>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</si>
  <si>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</si>
  <si>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</si>
  <si>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</si>
  <si>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</si>
  <si>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</si>
  <si>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</si>
  <si>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</si>
  <si>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</si>
  <si>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</si>
  <si>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</si>
  <si>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</si>
  <si>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</si>
  <si>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</si>
  <si>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</si>
  <si>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</si>
  <si>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</si>
  <si>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</si>
  <si>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</si>
  <si>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</si>
  <si>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</si>
  <si>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</si>
  <si>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</si>
  <si>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</si>
  <si>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</si>
  <si>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</si>
  <si>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</si>
  <si>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</si>
  <si>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</si>
  <si>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</si>
  <si>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</si>
  <si>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</si>
  <si>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</si>
  <si>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</si>
  <si>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</si>
  <si>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</si>
  <si>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</si>
  <si>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</si>
  <si>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</si>
  <si>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</si>
  <si>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</si>
  <si>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</si>
  <si>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</si>
  <si>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</si>
  <si>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</si>
  <si>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</si>
  <si>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</si>
  <si>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</si>
  <si>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</si>
  <si>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</si>
  <si>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</si>
  <si>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</si>
  <si>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</si>
  <si>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</si>
  <si>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</si>
  <si>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</si>
  <si>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</si>
  <si>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</si>
  <si>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</si>
  <si>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</si>
  <si>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</si>
  <si>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</si>
  <si>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</si>
  <si>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</si>
  <si>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</si>
  <si>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</si>
  <si>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</si>
  <si>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</si>
  <si>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</si>
  <si>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</si>
  <si>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</si>
  <si>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</si>
  <si>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</si>
  <si>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</si>
  <si>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</si>
  <si>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</si>
  <si>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</si>
  <si>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</si>
  <si>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</si>
  <si>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</si>
  <si>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</si>
  <si>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</si>
  <si>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</si>
  <si>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</si>
  <si>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</si>
  <si>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</si>
  <si>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</si>
  <si>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</si>
  <si>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</si>
  <si>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</si>
  <si>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</si>
  <si>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</si>
  <si>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</si>
  <si>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</si>
  <si>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</si>
  <si>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</si>
  <si>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</si>
  <si>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</si>
  <si>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</si>
  <si>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</si>
  <si>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</si>
  <si>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</si>
  <si>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</si>
  <si>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</si>
  <si>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</si>
  <si>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</si>
  <si>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</si>
  <si>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</si>
  <si>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</si>
  <si>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</si>
  <si>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</si>
  <si>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</si>
  <si>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</si>
  <si>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</si>
  <si>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</si>
  <si>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</si>
  <si>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</si>
  <si>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</si>
  <si>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</si>
  <si>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</si>
  <si>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</si>
  <si>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</si>
  <si>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</si>
  <si>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</si>
  <si>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</si>
  <si>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</si>
  <si>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</si>
  <si>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</si>
  <si>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</si>
  <si>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</si>
  <si>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</si>
  <si>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</si>
  <si>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</si>
  <si>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</si>
  <si>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</si>
  <si>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</si>
  <si>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</si>
  <si>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</si>
  <si>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</si>
  <si>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</si>
  <si>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</si>
  <si>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</si>
  <si>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</si>
  <si>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</si>
  <si>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</si>
  <si>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</si>
  <si>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</si>
  <si>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</si>
  <si>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</si>
  <si>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</si>
  <si>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</si>
  <si>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</si>
  <si>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</si>
  <si>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</si>
  <si>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</si>
  <si>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</si>
  <si>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</si>
  <si>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</si>
  <si>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</si>
  <si>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</si>
  <si>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</si>
  <si>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</si>
  <si>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</si>
  <si>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</si>
  <si>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</si>
  <si>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</si>
  <si>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</si>
  <si>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</si>
  <si>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</si>
  <si>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</si>
  <si>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</si>
  <si>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</si>
  <si>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</si>
  <si>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</si>
  <si>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</si>
  <si>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</si>
  <si>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</si>
  <si>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</si>
  <si>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</si>
  <si>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</si>
  <si>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</si>
  <si>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</si>
  <si>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</si>
  <si>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</si>
  <si>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</si>
  <si>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</si>
  <si>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</si>
  <si>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</si>
  <si>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</si>
  <si>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</si>
  <si>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</si>
  <si>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</si>
  <si>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</si>
  <si>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</si>
  <si>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</si>
  <si>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</si>
  <si>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</si>
  <si>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</si>
  <si>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</si>
  <si>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</si>
  <si>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</si>
  <si>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</si>
  <si>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</si>
  <si>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</si>
  <si>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</si>
  <si>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</si>
  <si>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</si>
  <si>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</si>
  <si>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</si>
  <si>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</si>
  <si>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</si>
  <si>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</si>
  <si>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</si>
  <si>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</si>
  <si>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</si>
  <si>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</si>
  <si>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</si>
  <si>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</si>
  <si>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</si>
  <si>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</si>
  <si>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</si>
  <si>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</si>
  <si>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</si>
  <si>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</si>
  <si>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</si>
  <si>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</si>
  <si>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</si>
  <si>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</si>
  <si>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</si>
  <si>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</si>
  <si>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</si>
  <si>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</si>
  <si>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</si>
  <si>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</si>
  <si>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</si>
  <si>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</si>
  <si>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</si>
  <si>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</si>
  <si>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</si>
  <si>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</si>
  <si>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</si>
  <si>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</si>
  <si>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</si>
  <si>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</si>
  <si>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</si>
  <si>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</si>
  <si>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</si>
  <si>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</si>
  <si>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</si>
  <si>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</si>
  <si>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</si>
  <si>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</si>
  <si>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</si>
  <si>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</si>
  <si>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</si>
  <si>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</si>
  <si>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</si>
  <si>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</si>
  <si>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</si>
  <si>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</si>
  <si>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</si>
  <si>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</si>
  <si>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</si>
  <si>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</si>
  <si>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</si>
  <si>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</si>
  <si>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</si>
  <si>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</si>
  <si>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</si>
  <si>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</si>
  <si>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</si>
  <si>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</si>
  <si>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</si>
  <si>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</si>
  <si>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</si>
  <si>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</si>
  <si>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</si>
  <si>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</si>
  <si>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</si>
  <si>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</si>
  <si>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</si>
  <si>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</si>
  <si>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</si>
  <si>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</si>
  <si>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</si>
  <si>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</si>
  <si>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</si>
  <si>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</si>
  <si>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</si>
  <si>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</si>
  <si>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</si>
  <si>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</si>
  <si>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</si>
  <si>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</si>
  <si>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</si>
  <si>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</si>
  <si>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</si>
  <si>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</si>
  <si>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</si>
  <si>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</si>
  <si>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</si>
  <si>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</si>
  <si>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</si>
  <si>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</si>
  <si>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</si>
  <si>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</si>
  <si>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</si>
  <si>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</si>
  <si>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</si>
  <si>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</si>
  <si>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</si>
  <si>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</si>
  <si>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</si>
  <si>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</si>
  <si>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</si>
  <si>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</si>
  <si>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</si>
  <si>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</si>
  <si>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</si>
  <si>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</si>
  <si>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</si>
  <si>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</si>
  <si>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</si>
  <si>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</si>
  <si>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</si>
  <si>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</si>
  <si>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</si>
  <si>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</si>
  <si>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</si>
  <si>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</si>
  <si>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</si>
  <si>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</si>
  <si>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</si>
  <si>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</si>
  <si>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</si>
  <si>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</si>
  <si>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</si>
  <si>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</si>
  <si>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</si>
  <si>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</si>
  <si>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</si>
  <si>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</si>
  <si>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</si>
  <si>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</si>
  <si>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</si>
  <si>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</si>
  <si>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</si>
  <si>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</si>
  <si>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</si>
  <si>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</si>
  <si>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</si>
  <si>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</si>
  <si>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</si>
  <si>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</si>
  <si>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</si>
  <si>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</si>
  <si>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</si>
  <si>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</si>
  <si>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</si>
  <si>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</si>
  <si>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</si>
  <si>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</si>
  <si>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</si>
  <si>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</si>
  <si>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</si>
  <si>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</si>
  <si>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</si>
  <si>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</si>
  <si>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</si>
  <si>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</si>
  <si>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</si>
  <si>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</si>
  <si>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</si>
  <si>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</si>
  <si>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</si>
  <si>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</si>
  <si>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</si>
  <si>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</si>
  <si>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</si>
  <si>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</si>
  <si>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</si>
  <si>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</si>
  <si>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</si>
  <si>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</si>
  <si>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</si>
  <si>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</si>
  <si>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</si>
  <si>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</si>
  <si>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</si>
  <si>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</si>
  <si>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</si>
  <si>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</si>
  <si>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</si>
  <si>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</si>
  <si>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</si>
  <si>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</si>
  <si>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</si>
  <si>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</si>
  <si>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</si>
  <si>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</si>
  <si>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</si>
  <si>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</si>
  <si>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</si>
  <si>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</si>
  <si>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</si>
  <si>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</si>
  <si>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</si>
  <si>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</si>
  <si>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</si>
  <si>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</si>
  <si>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</si>
  <si>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</si>
  <si>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</si>
  <si>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</si>
  <si>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</si>
  <si>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</si>
  <si>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</si>
  <si>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</si>
  <si>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</si>
  <si>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</si>
  <si>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</si>
  <si>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</si>
  <si>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</si>
  <si>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</si>
  <si>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</si>
  <si>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</si>
  <si>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</si>
  <si>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</si>
  <si>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</si>
  <si>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</si>
  <si>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</si>
  <si>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</si>
  <si>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</si>
  <si>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</si>
  <si>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</si>
  <si>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</si>
  <si>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</si>
  <si>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</si>
  <si>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</si>
  <si>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</si>
  <si>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</si>
  <si>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</si>
  <si>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</si>
  <si>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</si>
  <si>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</si>
  <si>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</si>
  <si>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</si>
  <si>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</si>
  <si>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</si>
  <si>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</si>
  <si>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</si>
  <si>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</si>
  <si>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</si>
  <si>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</si>
  <si>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</si>
  <si>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</si>
  <si>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</si>
  <si>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</si>
  <si>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</si>
  <si>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</si>
  <si>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</si>
  <si>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</si>
  <si>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</si>
  <si>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</si>
  <si>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</si>
  <si>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</si>
  <si>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</si>
  <si>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</si>
  <si>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</si>
  <si>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</si>
  <si>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</si>
  <si>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</si>
  <si>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</si>
  <si>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</si>
  <si>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</si>
  <si>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</si>
  <si>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</si>
  <si>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</si>
  <si>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</si>
  <si>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</si>
  <si>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</si>
  <si>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</si>
  <si>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</si>
  <si>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</si>
  <si>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</si>
  <si>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</si>
  <si>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</si>
  <si>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</si>
  <si>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</si>
  <si>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</si>
  <si>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</si>
  <si>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</si>
  <si>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</si>
  <si>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</si>
  <si>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</si>
  <si>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</si>
  <si>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</si>
  <si>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</si>
  <si>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</si>
  <si>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</si>
  <si>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</si>
  <si>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</si>
  <si>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</si>
  <si>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</si>
  <si>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</si>
  <si>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</si>
  <si>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</si>
  <si>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</si>
  <si>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</si>
  <si>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</si>
  <si>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</si>
  <si>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</si>
  <si>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</si>
  <si>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</si>
  <si>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</si>
  <si>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</si>
  <si>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</si>
  <si>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</si>
  <si>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</si>
  <si>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</si>
  <si>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</si>
  <si>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</si>
  <si>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</si>
  <si>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</si>
  <si>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</si>
  <si>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</si>
  <si>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</si>
  <si>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</si>
  <si>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</si>
  <si>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</si>
  <si>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</si>
  <si>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</si>
  <si>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</si>
  <si>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</si>
  <si>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</si>
  <si>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</si>
  <si>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</si>
  <si>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</si>
  <si>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</si>
  <si>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</si>
  <si>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</si>
  <si>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</si>
  <si>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</si>
  <si>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</si>
  <si>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</si>
  <si>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</si>
  <si>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</si>
  <si>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</si>
  <si>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</si>
  <si>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</si>
  <si>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</si>
  <si>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</si>
  <si>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</si>
  <si>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</si>
  <si>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</si>
  <si>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</si>
  <si>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</si>
  <si>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</si>
  <si>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</si>
  <si>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</si>
  <si>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</si>
  <si>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</si>
  <si>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</si>
  <si>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</si>
  <si>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</si>
  <si>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</si>
  <si>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</si>
  <si>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</si>
  <si>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</si>
  <si>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</si>
  <si>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</si>
  <si>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</si>
  <si>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</si>
  <si>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</si>
  <si>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</si>
  <si>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</si>
  <si>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</si>
  <si>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</si>
  <si>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</si>
  <si>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</si>
  <si>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</si>
  <si>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</si>
  <si>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</si>
  <si>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</si>
  <si>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</si>
  <si>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</si>
  <si>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</si>
  <si>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</si>
  <si>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</si>
  <si>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</si>
  <si>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</si>
  <si>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</si>
  <si>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</si>
  <si>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</si>
  <si>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</si>
  <si>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</si>
  <si>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</si>
  <si>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</si>
  <si>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</si>
  <si>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</si>
  <si>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</si>
  <si>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</si>
  <si>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</si>
  <si>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</si>
  <si>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</si>
  <si>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</si>
  <si>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</si>
  <si>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</si>
  <si>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</si>
  <si>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</si>
  <si>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</si>
  <si>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</si>
  <si>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</si>
  <si>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</si>
  <si>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</si>
  <si>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</si>
  <si>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</si>
  <si>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</si>
  <si>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</si>
  <si>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</si>
  <si>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</si>
  <si>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</si>
  <si>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</si>
  <si>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</si>
  <si>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</si>
  <si>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</si>
  <si>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</si>
  <si>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</si>
  <si>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</si>
  <si>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</si>
  <si>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</si>
  <si>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</si>
  <si>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</si>
  <si>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</si>
  <si>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</si>
  <si>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</si>
  <si>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</si>
  <si>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</si>
  <si>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</si>
  <si>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</si>
  <si>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</si>
  <si>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</si>
  <si>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</si>
  <si>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</si>
  <si>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</si>
  <si>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</si>
  <si>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</si>
  <si>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</si>
  <si>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</si>
  <si>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</si>
  <si>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</si>
  <si>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</si>
  <si>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</si>
  <si>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</si>
  <si>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</si>
  <si>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</si>
  <si>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</si>
  <si>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</si>
  <si>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</si>
  <si>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</si>
  <si>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</si>
  <si>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</si>
  <si>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</si>
  <si>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</si>
  <si>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</si>
  <si>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</si>
  <si>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</si>
  <si>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</si>
  <si>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</si>
  <si>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</si>
  <si>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</si>
  <si>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</si>
  <si>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</si>
  <si>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</si>
  <si>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</si>
  <si>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</si>
  <si>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</si>
  <si>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</si>
  <si>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</si>
  <si>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</si>
  <si>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</si>
  <si>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</si>
  <si>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</si>
  <si>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</si>
  <si>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</si>
  <si>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</si>
  <si>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</si>
  <si>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</si>
  <si>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</si>
  <si>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</si>
  <si>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</si>
  <si>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</si>
  <si>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</si>
  <si>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</si>
  <si>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</si>
  <si>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</si>
  <si>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</si>
  <si>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</si>
  <si>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</si>
  <si>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</si>
  <si>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</si>
  <si>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</si>
  <si>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</si>
  <si>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</si>
  <si>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</si>
  <si>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</si>
  <si>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</si>
  <si>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</si>
  <si>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</si>
  <si>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</si>
  <si>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</si>
  <si>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</si>
  <si>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</si>
  <si>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</si>
  <si>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</si>
  <si>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</si>
  <si>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</si>
  <si>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</si>
  <si>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</si>
  <si>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</si>
  <si>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</si>
  <si>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</si>
  <si>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</si>
  <si>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</si>
  <si>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</si>
  <si>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</si>
  <si>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</si>
  <si>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</si>
  <si>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</si>
  <si>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</si>
  <si>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</si>
  <si>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</si>
  <si>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</si>
  <si>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</si>
  <si>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</si>
  <si>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</si>
  <si>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</si>
  <si>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</si>
  <si>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</si>
  <si>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</si>
  <si>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</si>
  <si>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</si>
  <si>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</si>
  <si>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</si>
  <si>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</si>
  <si>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</si>
  <si>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</si>
  <si>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</si>
  <si>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</si>
  <si>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</si>
  <si>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</si>
  <si>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</si>
  <si>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</si>
  <si>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</si>
  <si>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</si>
  <si>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</si>
  <si>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</si>
  <si>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</si>
  <si>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</si>
  <si>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</si>
  <si>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</si>
  <si>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</si>
  <si>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</si>
  <si>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</si>
  <si>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</si>
  <si>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</si>
  <si>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</si>
  <si>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</si>
  <si>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</si>
  <si>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</si>
  <si>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</si>
  <si>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</si>
  <si>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</si>
  <si>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</si>
  <si>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</si>
  <si>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</si>
  <si>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</si>
  <si>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</si>
  <si>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</si>
  <si>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</si>
  <si>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</si>
  <si>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</si>
  <si>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</si>
  <si>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</si>
  <si>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</si>
  <si>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</si>
  <si>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</si>
  <si>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</si>
  <si>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</si>
  <si>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</si>
  <si>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</si>
  <si>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</si>
  <si>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</si>
  <si>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</si>
  <si>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</si>
  <si>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</si>
  <si>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</si>
  <si>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</si>
  <si>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</si>
  <si>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</si>
  <si>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</si>
  <si>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</si>
  <si>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</si>
  <si>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</si>
  <si>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</si>
  <si>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</si>
  <si>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</si>
  <si>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</si>
  <si>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</si>
  <si>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</si>
  <si>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</si>
  <si>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</si>
  <si>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</si>
  <si>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</si>
  <si>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</si>
  <si>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</si>
  <si>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</si>
  <si>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</si>
  <si>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</si>
  <si>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</si>
  <si>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</si>
  <si>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</si>
  <si>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</si>
  <si>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</si>
  <si>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</si>
  <si>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</si>
  <si>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</si>
  <si>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</si>
  <si>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</si>
  <si>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</si>
  <si>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</si>
  <si>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</si>
  <si>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</si>
  <si>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</si>
  <si>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</si>
  <si>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</si>
  <si>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</si>
  <si>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</si>
  <si>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</si>
  <si>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</si>
  <si>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</si>
  <si>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</si>
  <si>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</si>
  <si>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</si>
  <si>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</si>
  <si>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</si>
  <si>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</si>
  <si>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</si>
  <si>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</si>
  <si>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</si>
  <si>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</si>
  <si>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</si>
  <si>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</si>
  <si>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</si>
  <si>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</si>
  <si>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</si>
  <si>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</si>
  <si>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</si>
  <si>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</si>
  <si>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</si>
  <si>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</si>
  <si>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</si>
  <si>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</si>
  <si>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</si>
  <si>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</si>
  <si>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</si>
  <si>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</si>
  <si>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</si>
  <si>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</si>
  <si>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</si>
  <si>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</si>
  <si>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</si>
  <si>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</si>
  <si>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</si>
  <si>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</si>
  <si>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</si>
  <si>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</si>
  <si>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</si>
  <si>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</si>
  <si>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</si>
  <si>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</si>
  <si>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</si>
  <si>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</si>
  <si>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</si>
  <si>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</si>
  <si>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</si>
  <si>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</si>
  <si>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</si>
  <si>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</si>
  <si>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</si>
  <si>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</si>
  <si>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</si>
  <si>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</si>
  <si>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</si>
  <si>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</si>
  <si>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</si>
  <si>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</si>
  <si>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</si>
  <si>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</si>
  <si>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</si>
  <si>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</si>
  <si>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</si>
  <si>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</si>
  <si>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</si>
  <si>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</si>
  <si>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</si>
  <si>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</si>
  <si>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</si>
  <si>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</si>
  <si>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</si>
  <si>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</si>
  <si>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</si>
  <si>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</si>
  <si>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</si>
  <si>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</si>
  <si>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</si>
  <si>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</si>
  <si>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</si>
  <si>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</si>
  <si>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</si>
  <si>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</si>
  <si>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</si>
  <si>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</si>
  <si>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</si>
  <si>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</si>
  <si>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</si>
  <si>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</si>
  <si>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</si>
  <si>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</si>
  <si>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</si>
  <si>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</si>
  <si>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</si>
  <si>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</si>
  <si>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</si>
  <si>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</si>
  <si>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</si>
  <si>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</si>
  <si>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</si>
  <si>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</si>
  <si>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</si>
  <si>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</si>
  <si>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</si>
  <si>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</si>
  <si>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</si>
  <si>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</si>
  <si>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</si>
  <si>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</si>
  <si>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</si>
  <si>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</si>
  <si>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</si>
  <si>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</si>
  <si>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</si>
  <si>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</si>
  <si>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</si>
  <si>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</si>
  <si>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</si>
  <si>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</si>
  <si>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</si>
  <si>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</si>
  <si>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</si>
  <si>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</si>
  <si>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</si>
  <si>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</si>
  <si>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</si>
  <si>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</si>
  <si>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</si>
  <si>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</si>
  <si>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</si>
  <si>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</si>
  <si>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</si>
  <si>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</si>
  <si>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</si>
  <si>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</si>
  <si>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</si>
  <si>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</si>
  <si>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</si>
  <si>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</si>
  <si>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</si>
  <si>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</si>
  <si>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</si>
  <si>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</si>
  <si>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</si>
  <si>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</si>
  <si>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</si>
  <si>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</si>
  <si>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</si>
  <si>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</si>
  <si>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</si>
  <si>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</si>
  <si>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</si>
  <si>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</si>
  <si>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</si>
  <si>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</si>
  <si>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</si>
  <si>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</si>
  <si>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</si>
  <si>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</si>
  <si>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</si>
  <si>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</si>
  <si>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</si>
  <si>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</si>
  <si>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</si>
  <si>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</si>
  <si>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</si>
  <si>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</si>
  <si>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</si>
  <si>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</si>
  <si>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</si>
  <si>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</si>
  <si>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</si>
  <si>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</si>
  <si>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</si>
  <si>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</si>
  <si>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</si>
  <si>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</si>
  <si>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</si>
  <si>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</si>
  <si>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</si>
  <si>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</si>
  <si>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</si>
  <si>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</si>
  <si>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</si>
  <si>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</si>
  <si>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</si>
  <si>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</si>
  <si>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</si>
  <si>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</si>
  <si>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</si>
  <si>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</si>
  <si>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</si>
  <si>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</si>
  <si>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</si>
  <si>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</si>
  <si>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</si>
  <si>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</si>
  <si>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</si>
  <si>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</si>
  <si>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</si>
  <si>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</si>
  <si>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</si>
  <si>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</si>
  <si>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</si>
  <si>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</si>
  <si>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</si>
  <si>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</si>
  <si>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</si>
  <si>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</si>
  <si>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</si>
  <si>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</si>
  <si>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</si>
  <si>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</si>
  <si>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</si>
  <si>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</si>
  <si>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</si>
  <si>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</si>
  <si>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</si>
  <si>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</si>
  <si>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</si>
  <si>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</si>
  <si>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</si>
  <si>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</si>
  <si>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</si>
  <si>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</si>
  <si>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</si>
  <si>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</si>
  <si>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</si>
  <si>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</si>
  <si>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</si>
  <si>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</si>
  <si>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</si>
  <si>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</si>
  <si>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</si>
  <si>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</si>
  <si>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</si>
  <si>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</si>
  <si>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</si>
  <si>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</si>
  <si>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</si>
  <si>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</si>
  <si>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</si>
  <si>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</si>
  <si>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</si>
  <si>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</si>
  <si>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</si>
  <si>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</si>
  <si>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</si>
  <si>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</si>
  <si>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</si>
  <si>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</si>
  <si>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</si>
  <si>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</si>
  <si>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</si>
  <si>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</si>
  <si>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</si>
  <si>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</si>
  <si>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</si>
  <si>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</si>
  <si>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</si>
  <si>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</si>
  <si>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</si>
  <si>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</si>
  <si>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</si>
  <si>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</si>
  <si>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</si>
  <si>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</si>
  <si>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</si>
  <si>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</si>
  <si>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</si>
  <si>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</si>
  <si>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</si>
  <si>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</si>
  <si>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</si>
  <si>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</si>
  <si>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</si>
  <si>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</si>
  <si>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</si>
  <si>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</si>
  <si>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</si>
  <si>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</si>
  <si>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</si>
  <si>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</si>
  <si>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</si>
  <si>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</si>
  <si>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</si>
  <si>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</si>
  <si>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</si>
  <si>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</si>
  <si>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</si>
  <si>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</si>
  <si>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</si>
  <si>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</si>
  <si>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</si>
  <si>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</si>
  <si>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</si>
  <si>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</si>
  <si>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</si>
  <si>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</si>
  <si>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</si>
  <si>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</si>
  <si>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</si>
  <si>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</si>
  <si>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</si>
  <si>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</si>
  <si>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</si>
  <si>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</si>
  <si>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</si>
  <si>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</si>
  <si>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</si>
  <si>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</si>
  <si>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</si>
  <si>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</si>
  <si>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</si>
  <si>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</si>
  <si>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</si>
  <si>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</si>
  <si>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</si>
  <si>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</si>
  <si>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</si>
  <si>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</si>
  <si>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</si>
  <si>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</si>
  <si>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</si>
  <si>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</si>
  <si>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</si>
  <si>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</si>
  <si>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</si>
  <si>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</si>
  <si>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</si>
  <si>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</si>
  <si>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</si>
  <si>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</si>
  <si>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</si>
  <si>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</si>
  <si>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</si>
  <si>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</si>
  <si>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</si>
  <si>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</si>
  <si>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</si>
  <si>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</si>
  <si>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</si>
  <si>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</si>
  <si>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</si>
  <si>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</si>
  <si>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</si>
  <si>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</si>
  <si>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</si>
  <si>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</si>
  <si>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</si>
  <si>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</si>
  <si>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</si>
  <si>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</si>
  <si>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</si>
  <si>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</si>
  <si>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</si>
  <si>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</si>
  <si>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</si>
  <si>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</si>
  <si>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</si>
  <si>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</si>
  <si>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</si>
  <si>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</si>
  <si>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</si>
  <si>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</si>
  <si>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</si>
  <si>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</si>
  <si>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</si>
  <si>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</si>
  <si>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</si>
  <si>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</si>
  <si>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</si>
  <si>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</si>
  <si>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</si>
  <si>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</si>
  <si>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</si>
  <si>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</si>
  <si>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</si>
  <si>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</si>
  <si>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</si>
  <si>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</si>
  <si>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</si>
  <si>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</si>
  <si>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</si>
  <si>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</si>
  <si>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</si>
  <si>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</si>
  <si>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</si>
  <si>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</si>
  <si>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</si>
  <si>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</si>
  <si>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</si>
  <si>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</si>
  <si>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</si>
  <si>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</si>
  <si>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</si>
  <si>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</si>
  <si>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</si>
  <si>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</si>
  <si>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</si>
  <si>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</si>
  <si>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</si>
  <si>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</si>
  <si>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</si>
  <si>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</si>
  <si>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</si>
  <si>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</si>
  <si>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</si>
  <si>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</si>
  <si>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</si>
  <si>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</si>
  <si>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</si>
  <si>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</si>
  <si>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</si>
  <si>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</si>
  <si>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</si>
  <si>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</si>
  <si>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</si>
  <si>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</si>
  <si>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</si>
  <si>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</si>
  <si>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</si>
  <si>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</si>
  <si>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</si>
  <si>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</si>
  <si>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</si>
  <si>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</si>
  <si>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</si>
  <si>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</si>
  <si>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</si>
  <si>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</si>
  <si>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</si>
  <si>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</si>
  <si>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</si>
  <si>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</si>
  <si>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</si>
  <si>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</si>
  <si>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</si>
  <si>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</si>
  <si>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</si>
  <si>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</si>
  <si>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</si>
  <si>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</si>
  <si>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</si>
  <si>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</si>
  <si>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</si>
  <si>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</si>
  <si>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</si>
  <si>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</si>
  <si>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</si>
  <si>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</si>
  <si>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</si>
  <si>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</si>
  <si>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</si>
  <si>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</si>
  <si>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</si>
  <si>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</si>
  <si>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</si>
  <si>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</si>
  <si>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</si>
  <si>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</si>
  <si>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</si>
  <si>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</si>
  <si>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</si>
  <si>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</si>
  <si>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</si>
  <si>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</si>
  <si>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</si>
  <si>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</si>
  <si>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</si>
  <si>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</si>
  <si>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</si>
  <si>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</si>
  <si>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</si>
  <si>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</si>
  <si>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</si>
  <si>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</si>
  <si>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</si>
  <si>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</si>
  <si>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</si>
  <si>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</si>
  <si>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</si>
  <si>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</si>
  <si>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</si>
  <si>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</si>
  <si>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</si>
  <si>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</si>
  <si>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</si>
  <si>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</si>
  <si>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</si>
  <si>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</si>
  <si>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</si>
  <si>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</si>
  <si>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</si>
  <si>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</si>
  <si>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</si>
  <si>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</si>
  <si>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</si>
  <si>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</si>
  <si>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</si>
  <si>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</si>
  <si>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</si>
  <si>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</si>
  <si>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</si>
  <si>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</si>
  <si>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</si>
  <si>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</si>
  <si>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</si>
  <si>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</si>
  <si>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</si>
  <si>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</si>
  <si>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</si>
  <si>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</si>
  <si>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</si>
  <si>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</si>
  <si>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</si>
  <si>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</si>
  <si>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</si>
  <si>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</si>
  <si>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</si>
  <si>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</si>
  <si>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</si>
  <si>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</si>
  <si>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</si>
  <si>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</si>
  <si>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</si>
  <si>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</si>
  <si>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</si>
  <si>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</si>
  <si>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</si>
  <si>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</si>
  <si>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</si>
  <si>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</si>
  <si>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</si>
  <si>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</si>
  <si>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</si>
  <si>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</si>
  <si>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</si>
  <si>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</si>
  <si>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</si>
  <si>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</si>
  <si>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</si>
  <si>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</si>
  <si>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</si>
  <si>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</si>
  <si>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出让</t>
  </si>
  <si>
    <t>是</t>
  </si>
  <si>
    <t>无</t>
  </si>
  <si>
    <t>否</t>
  </si>
  <si>
    <t>现房</t>
  </si>
  <si>
    <t>通路</t>
  </si>
  <si>
    <t>通电</t>
  </si>
  <si>
    <t>通讯</t>
  </si>
  <si>
    <t>通上水</t>
  </si>
  <si>
    <t>通下水</t>
  </si>
  <si>
    <t>燃气</t>
  </si>
  <si>
    <t>通热</t>
  </si>
  <si>
    <t>地上</t>
  </si>
  <si>
    <t>成新度</t>
  </si>
  <si>
    <t>项目全部</t>
  </si>
  <si>
    <t>成本法</t>
  </si>
  <si>
    <t>不临58条商业街</t>
  </si>
  <si>
    <t>好</t>
  </si>
  <si>
    <t>较好</t>
  </si>
  <si>
    <t>押一</t>
  </si>
  <si>
    <t>钢混</t>
  </si>
  <si>
    <t>非生产用房</t>
  </si>
  <si>
    <t>办公楼</t>
    <phoneticPr fontId="143" type="noConversion"/>
  </si>
  <si>
    <t>未包含在土地购买价格中</t>
  </si>
  <si>
    <t>全部缴纳</t>
  </si>
  <si>
    <t>1层</t>
    <phoneticPr fontId="143" type="noConversion"/>
  </si>
  <si>
    <t>2层</t>
    <phoneticPr fontId="143" type="noConversion"/>
  </si>
  <si>
    <t>3层</t>
  </si>
  <si>
    <t>4层</t>
  </si>
  <si>
    <t>5层</t>
  </si>
  <si>
    <t>估值单价</t>
    <phoneticPr fontId="143" type="noConversion"/>
  </si>
  <si>
    <t>底商1层均价</t>
    <phoneticPr fontId="143" type="noConversion"/>
  </si>
  <si>
    <t>地上共三层、地下二层</t>
    <phoneticPr fontId="143" type="noConversion"/>
  </si>
  <si>
    <t>写字楼租金</t>
    <phoneticPr fontId="143" type="noConversion"/>
  </si>
  <si>
    <t>办公用房</t>
  </si>
  <si>
    <t>地下车库用房</t>
  </si>
  <si>
    <t>地下车库用房</t>
    <phoneticPr fontId="16" type="noConversion"/>
  </si>
  <si>
    <t>欧红伟</t>
  </si>
  <si>
    <t>崔锴</t>
  </si>
  <si>
    <t>渤海银行通州支行</t>
    <phoneticPr fontId="6" type="noConversion"/>
  </si>
  <si>
    <t>北京银河万达置业有限公司</t>
    <phoneticPr fontId="6" type="noConversion"/>
  </si>
  <si>
    <r>
      <rPr>
        <sz val="12"/>
        <color theme="9" tint="-0.249977111117893"/>
        <rFont val="宋体"/>
        <family val="3"/>
        <charset val="134"/>
      </rPr>
      <t>石景山区石景山路乙</t>
    </r>
    <r>
      <rPr>
        <sz val="12"/>
        <color theme="9" tint="-0.249977111117893"/>
        <rFont val="Arial"/>
        <family val="2"/>
      </rPr>
      <t>18</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phoneticPr fontId="6" type="noConversion"/>
  </si>
  <si>
    <t>抵押物清单</t>
    <phoneticPr fontId="6" type="noConversion"/>
  </si>
  <si>
    <t>复印件</t>
  </si>
  <si>
    <t>综合项目（商业、办公）</t>
  </si>
  <si>
    <t>地下</t>
  </si>
  <si>
    <t>车库</t>
  </si>
  <si>
    <t>-203</t>
  </si>
  <si>
    <t>-206</t>
  </si>
  <si>
    <t>-207</t>
  </si>
  <si>
    <t>-209</t>
  </si>
  <si>
    <t>-210</t>
  </si>
  <si>
    <t>-212</t>
  </si>
  <si>
    <t>-103</t>
  </si>
  <si>
    <t>-104</t>
  </si>
  <si>
    <t>-105</t>
  </si>
  <si>
    <t>-106</t>
  </si>
  <si>
    <t>-107</t>
  </si>
  <si>
    <t>-108</t>
  </si>
  <si>
    <t>-109</t>
  </si>
  <si>
    <t>地下产权抵押明细表</t>
    <phoneticPr fontId="143" type="noConversion"/>
  </si>
  <si>
    <t>序号</t>
    <phoneticPr fontId="143" type="noConversion"/>
  </si>
  <si>
    <t>楼栋</t>
    <phoneticPr fontId="143" type="noConversion"/>
  </si>
  <si>
    <t>层数</t>
    <phoneticPr fontId="143" type="noConversion"/>
  </si>
  <si>
    <t>房间号</t>
    <phoneticPr fontId="143" type="noConversion"/>
  </si>
  <si>
    <t>各层房间面积（㎡）</t>
    <phoneticPr fontId="143" type="noConversion"/>
  </si>
  <si>
    <t>合计总面积（㎡）</t>
    <phoneticPr fontId="143" type="noConversion"/>
  </si>
  <si>
    <t>备注</t>
    <phoneticPr fontId="143" type="noConversion"/>
  </si>
  <si>
    <t>乙18号院6幢</t>
    <phoneticPr fontId="143" type="noConversion"/>
  </si>
  <si>
    <t>-2层（地下二层）</t>
    <phoneticPr fontId="143" type="noConversion"/>
  </si>
  <si>
    <t>-201</t>
    <phoneticPr fontId="143" type="noConversion"/>
  </si>
  <si>
    <t>地下二层中涉及四个房间（-204，-205，-208，-211 ）共2826.87㎡，产权已过户给北京万达嘉华酒店管理公司，不在此次抵押范围内</t>
    <phoneticPr fontId="143" type="noConversion"/>
  </si>
  <si>
    <t>-202</t>
    <phoneticPr fontId="143" type="noConversion"/>
  </si>
  <si>
    <t>-1层（地下一层）</t>
    <phoneticPr fontId="143" type="noConversion"/>
  </si>
  <si>
    <t>-101</t>
    <phoneticPr fontId="143" type="noConversion"/>
  </si>
  <si>
    <t>地下一层（-102 ）共4805.75㎡，其产权也已过户给北京万达嘉华酒店管理公司，故不在此次抵押范围。</t>
    <phoneticPr fontId="143" type="noConversion"/>
  </si>
  <si>
    <t>乙18号院4号楼</t>
    <phoneticPr fontId="143" type="noConversion"/>
  </si>
  <si>
    <t>1（地上一层）</t>
    <phoneticPr fontId="143" type="noConversion"/>
  </si>
  <si>
    <t>大商业中没有4层</t>
    <phoneticPr fontId="143" type="noConversion"/>
  </si>
  <si>
    <t>2（地上二层）</t>
    <phoneticPr fontId="143" type="noConversion"/>
  </si>
  <si>
    <t>3（地上三层）</t>
    <phoneticPr fontId="143" type="noConversion"/>
  </si>
  <si>
    <t>5（地上五层）</t>
    <phoneticPr fontId="143" type="noConversion"/>
  </si>
  <si>
    <t>6（地上六层）</t>
    <phoneticPr fontId="143" type="noConversion"/>
  </si>
  <si>
    <t>全部抵押物合计建筑面积：</t>
    <phoneticPr fontId="143" type="noConversion"/>
  </si>
  <si>
    <t>地上商业</t>
    <phoneticPr fontId="143" type="noConversion"/>
  </si>
  <si>
    <t>地下商业</t>
    <phoneticPr fontId="143" type="noConversion"/>
  </si>
  <si>
    <t>地下车库</t>
    <phoneticPr fontId="143" type="noConversion"/>
  </si>
  <si>
    <t>地下设备</t>
    <phoneticPr fontId="143" type="noConversion"/>
  </si>
  <si>
    <t>楼层修正</t>
  </si>
  <si>
    <t>宗地容积率</t>
  </si>
  <si>
    <t>收益法（汇总）</t>
  </si>
  <si>
    <t>较一致</t>
    <phoneticPr fontId="25" type="noConversion"/>
  </si>
  <si>
    <t>多面临街</t>
  </si>
  <si>
    <t>估价对象所在区域公共配套设施齐备情况较好</t>
    <phoneticPr fontId="41" type="noConversion"/>
  </si>
  <si>
    <t>估价对象所在区域基础设施水平高</t>
    <phoneticPr fontId="25" type="noConversion"/>
  </si>
  <si>
    <t>估价对象位于石景山，周边商业氛围成熟较好，人流量大，商业繁华度较好</t>
    <phoneticPr fontId="25" type="noConversion"/>
  </si>
  <si>
    <t>临街宽度及深度比例适宜程度高。对土地利用的无不利影响</t>
    <phoneticPr fontId="79" type="noConversion"/>
  </si>
  <si>
    <t>宗地形状较好，但对宗地利用无不利影响</t>
    <phoneticPr fontId="79" type="noConversion"/>
  </si>
  <si>
    <t>1层</t>
    <phoneticPr fontId="143" type="noConversion"/>
  </si>
  <si>
    <t>2层</t>
    <phoneticPr fontId="143" type="noConversion"/>
  </si>
  <si>
    <t>地下1层</t>
    <phoneticPr fontId="143" type="noConversion"/>
  </si>
  <si>
    <t>租金</t>
    <phoneticPr fontId="143" type="noConversion"/>
  </si>
  <si>
    <t>实际租金情况</t>
    <phoneticPr fontId="143" type="noConversion"/>
  </si>
  <si>
    <t>租约期内租金情况</t>
    <phoneticPr fontId="143" type="noConversion"/>
  </si>
  <si>
    <t>租金</t>
    <phoneticPr fontId="143" type="noConversion"/>
  </si>
  <si>
    <t>租约期外租金情况</t>
    <phoneticPr fontId="143" type="noConversion"/>
  </si>
  <si>
    <t>总建筑面积</t>
    <phoneticPr fontId="143" type="noConversion"/>
  </si>
  <si>
    <t>建筑面积</t>
    <phoneticPr fontId="143" type="noConversion"/>
  </si>
  <si>
    <t>无租约</t>
    <phoneticPr fontId="143" type="noConversion"/>
  </si>
  <si>
    <t>租约商业用房</t>
  </si>
  <si>
    <t>租约商业用房</t>
    <phoneticPr fontId="16" type="noConversion"/>
  </si>
  <si>
    <t>无租约商业用房</t>
  </si>
  <si>
    <t>无租约商业用房</t>
    <phoneticPr fontId="16" type="noConversion"/>
  </si>
  <si>
    <r>
      <rPr>
        <sz val="11"/>
        <color theme="1"/>
        <rFont val="宋体"/>
        <family val="3"/>
        <charset val="134"/>
      </rPr>
      <t>主干道</t>
    </r>
    <r>
      <rPr>
        <sz val="11"/>
        <color theme="1"/>
        <rFont val="Arial"/>
        <family val="2"/>
      </rPr>
      <t>-</t>
    </r>
    <r>
      <rPr>
        <sz val="11"/>
        <color theme="1"/>
        <rFont val="宋体"/>
        <family val="3"/>
        <charset val="134"/>
      </rPr>
      <t>石景山路</t>
    </r>
    <phoneticPr fontId="25" type="noConversion"/>
  </si>
  <si>
    <t>批发零售用地</t>
  </si>
  <si>
    <t>六通一平</t>
  </si>
  <si>
    <t>缺少</t>
  </si>
  <si>
    <t>按公示增长率计算</t>
  </si>
  <si>
    <t>估价对象周边道路状况好、公共交通通达情况好、停车便捷程度好，综合评价交通便捷度较好</t>
    <phoneticPr fontId="41" type="noConversion"/>
  </si>
  <si>
    <t>区域自然环境及人文环境好；综合评价环境状况较好</t>
    <phoneticPr fontId="41" type="noConversion"/>
  </si>
  <si>
    <t>收益法无租约商业</t>
  </si>
  <si>
    <t>收益法无租约商业</t>
    <phoneticPr fontId="16" type="noConversion"/>
  </si>
  <si>
    <t>收益法租约商业</t>
  </si>
  <si>
    <t>收益法租约商业</t>
    <phoneticPr fontId="16" type="noConversion"/>
  </si>
  <si>
    <t>收益法车库</t>
  </si>
  <si>
    <t>收益法车库</t>
    <phoneticPr fontId="16" type="noConversion"/>
  </si>
  <si>
    <t>自定义</t>
  </si>
  <si>
    <t>按租金收入计税</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</si>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</sst>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宋体"/>
      <family val="2"/>
      <scheme val="min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99" fillId="5" borderId="0" xfId="0" applyFont="1" applyFill="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0" fillId="0" borderId="1" xfId="0"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horizontal="center"/>
    </xf>
    <xf numFmtId="0" fontId="0" fillId="0" borderId="1" xfId="0" applyBorder="1" applyAlignment="1">
      <alignment horizontal="center"/>
    </xf>
    <xf numFmtId="49" fontId="0" fillId="0" borderId="32" xfId="0" applyNumberFormat="1" applyBorder="1" applyAlignment="1">
      <alignment horizontal="center"/>
    </xf>
    <xf numFmtId="0" fontId="0" fillId="0" borderId="32" xfId="0" applyBorder="1" applyAlignment="1">
      <alignment horizontal="center"/>
    </xf>
    <xf numFmtId="49" fontId="0" fillId="0" borderId="9" xfId="0" applyNumberFormat="1" applyBorder="1" applyAlignment="1">
      <alignment horizontal="center"/>
    </xf>
    <xf numFmtId="0" fontId="0" fillId="0" borderId="9" xfId="0"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xf>
    <xf numFmtId="49" fontId="0" fillId="0" borderId="62" xfId="0" applyNumberFormat="1" applyBorder="1" applyAlignment="1">
      <alignment horizont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133" fillId="8" borderId="1" xfId="8"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81" fontId="105"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50" fillId="8" borderId="1" xfId="0" applyNumberFormat="1" applyFont="1" applyFill="1" applyBorder="1" applyAlignment="1" applyProtection="1">
      <alignment vertical="center"/>
      <protection locked="0"/>
    </xf>
    <xf numFmtId="0" fontId="47" fillId="8" borderId="1" xfId="0" applyFont="1" applyFill="1" applyBorder="1" applyAlignment="1" applyProtection="1">
      <alignment horizontal="center" vertical="center"/>
      <protection locked="0"/>
    </xf>
    <xf numFmtId="0" fontId="50" fillId="8" borderId="23" xfId="0"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xf numFmtId="0" fontId="47" fillId="8" borderId="24" xfId="0"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22" fillId="0" borderId="24"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56" fillId="8" borderId="1" xfId="0" applyNumberFormat="1" applyFont="1" applyFill="1" applyBorder="1" applyAlignment="1" applyProtection="1">
      <alignment vertical="center" wrapText="1"/>
      <protection locked="0"/>
    </xf>
    <xf numFmtId="0" fontId="56" fillId="8" borderId="17" xfId="0" applyFont="1" applyFill="1" applyBorder="1" applyAlignment="1" applyProtection="1">
      <alignment horizontal="center" vertical="center" wrapText="1"/>
      <protection locked="0"/>
    </xf>
    <xf numFmtId="0" fontId="56" fillId="8" borderId="9" xfId="0" applyFont="1" applyFill="1" applyBorder="1" applyAlignment="1" applyProtection="1">
      <alignment horizontal="right" vertical="center" wrapText="1"/>
      <protection locked="0"/>
    </xf>
    <xf numFmtId="0" fontId="54" fillId="8" borderId="84" xfId="8"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49" fontId="105" fillId="8" borderId="74" xfId="0" applyNumberFormat="1" applyFont="1" applyFill="1" applyBorder="1" applyAlignment="1" applyProtection="1">
      <alignment horizontal="center" vertical="center" wrapText="1"/>
    </xf>
    <xf numFmtId="10" fontId="104" fillId="8" borderId="1" xfId="0" applyNumberFormat="1" applyFont="1" applyFill="1" applyBorder="1" applyAlignment="1" applyProtection="1">
      <alignment horizontal="center" vertical="center"/>
      <protection locked="0"/>
    </xf>
    <xf numFmtId="177" fontId="47" fillId="8" borderId="5" xfId="1" applyNumberFormat="1" applyFont="1" applyFill="1" applyBorder="1" applyAlignment="1" applyProtection="1">
      <alignment vertical="center"/>
      <protection locked="0"/>
    </xf>
    <xf numFmtId="181" fontId="55" fillId="8"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54" fillId="0" borderId="5" xfId="0" applyNumberFormat="1" applyFont="1" applyBorder="1" applyAlignment="1">
      <alignment horizontal="center" vertical="center"/>
    </xf>
    <xf numFmtId="49" fontId="156" fillId="0" borderId="54" xfId="0" applyNumberFormat="1" applyFont="1" applyBorder="1" applyAlignment="1">
      <alignment horizontal="center" vertical="center"/>
    </xf>
    <xf numFmtId="49" fontId="156" fillId="0" borderId="3" xfId="0" applyNumberFormat="1" applyFont="1" applyBorder="1" applyAlignment="1">
      <alignment horizontal="center" vertical="center"/>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74" xfId="0" applyBorder="1" applyAlignment="1">
      <alignment horizontal="center" vertical="center" wrapText="1"/>
    </xf>
    <xf numFmtId="49" fontId="0" fillId="0" borderId="13" xfId="0" applyNumberFormat="1" applyBorder="1" applyAlignment="1">
      <alignment horizontal="center" vertical="center"/>
    </xf>
    <xf numFmtId="49" fontId="0" fillId="0" borderId="15" xfId="0" applyNumberFormat="1" applyBorder="1" applyAlignment="1">
      <alignment horizontal="center" vertical="center"/>
    </xf>
    <xf numFmtId="49" fontId="0" fillId="0" borderId="74" xfId="0" applyNumberForma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74" xfId="0" applyBorder="1" applyAlignment="1">
      <alignment horizontal="center" vertical="center"/>
    </xf>
    <xf numFmtId="49" fontId="255" fillId="0" borderId="13" xfId="0" applyNumberFormat="1" applyFont="1" applyBorder="1" applyAlignment="1">
      <alignment horizontal="left" vertical="center" wrapText="1"/>
    </xf>
    <xf numFmtId="49" fontId="113" fillId="0" borderId="15" xfId="0" applyNumberFormat="1" applyFont="1" applyBorder="1" applyAlignment="1">
      <alignment horizontal="left" vertical="center" wrapText="1"/>
    </xf>
    <xf numFmtId="49" fontId="113" fillId="0" borderId="74" xfId="0" applyNumberFormat="1" applyFont="1" applyBorder="1" applyAlignment="1">
      <alignment horizontal="left" vertical="center" wrapText="1"/>
    </xf>
    <xf numFmtId="0" fontId="0" fillId="0" borderId="58"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39" xfId="0" applyBorder="1" applyAlignment="1">
      <alignment horizontal="center" vertical="center" wrapText="1"/>
    </xf>
    <xf numFmtId="49" fontId="0" fillId="0" borderId="29" xfId="0" applyNumberFormat="1" applyBorder="1" applyAlignment="1">
      <alignment horizontal="center"/>
    </xf>
    <xf numFmtId="49" fontId="0" fillId="0" borderId="39" xfId="0" applyNumberFormat="1"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49" fontId="0" fillId="0" borderId="17" xfId="0" applyNumberFormat="1" applyBorder="1" applyAlignment="1">
      <alignment horizontal="center" vertical="center" wrapText="1"/>
    </xf>
    <xf numFmtId="49" fontId="0" fillId="0" borderId="15" xfId="0" applyNumberFormat="1" applyBorder="1" applyAlignment="1">
      <alignment horizontal="center" vertical="center" wrapText="1"/>
    </xf>
    <xf numFmtId="49" fontId="0" fillId="0" borderId="74" xfId="0" applyNumberFormat="1" applyBorder="1" applyAlignment="1">
      <alignment horizontal="center" vertical="center" wrapText="1"/>
    </xf>
    <xf numFmtId="49" fontId="255" fillId="0" borderId="17" xfId="0" applyNumberFormat="1" applyFont="1" applyBorder="1" applyAlignment="1">
      <alignment horizontal="left" vertical="center" wrapText="1"/>
    </xf>
    <xf numFmtId="0" fontId="99" fillId="0" borderId="0" xfId="0" applyFon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1199;&#36161;&#24773;&#20917;&#34920;-&#21271;&#20140;&#30707;&#26223;&#23665;&#20462;&#25913;%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99;&#36161;&#24773;&#20917;&#34920;-&#21271;&#20140;&#30707;&#26223;&#23665;&#20462;&#25913;%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02">
          <cell r="B102">
            <v>1261.1300000000001</v>
          </cell>
        </row>
        <row r="104">
          <cell r="K104">
            <v>21.310309279289779</v>
          </cell>
        </row>
        <row r="108">
          <cell r="K108">
            <v>13.964411932882605</v>
          </cell>
        </row>
        <row r="112">
          <cell r="K112">
            <v>6.6251599245882495</v>
          </cell>
        </row>
        <row r="114">
          <cell r="B114">
            <v>3435</v>
          </cell>
        </row>
        <row r="116">
          <cell r="K116">
            <v>3.3896201753586821</v>
          </cell>
        </row>
        <row r="118">
          <cell r="B118">
            <v>20490</v>
          </cell>
        </row>
        <row r="120">
          <cell r="K120">
            <v>2.4899432176535106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0">
          <cell r="B110">
            <v>2979.2</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1217</v>
      </c>
      <c r="B1" s="1582" t="s">
        <v>1296</v>
      </c>
    </row>
    <row r="2" spans="1:2" s="1587" customFormat="1" ht="15" thickTop="1">
      <c r="A2" s="1585" t="s">
        <v>1218</v>
      </c>
      <c r="B2" s="1586" t="str">
        <f>'预评函-封皮'!B37:I37</f>
        <v>北京市石景山区石景山路乙18号院4号楼房地产抵押价值预评估</v>
      </c>
    </row>
    <row r="3" spans="1:2" s="1590" customFormat="1">
      <c r="A3" s="1588" t="s">
        <v>1219</v>
      </c>
      <c r="B3" s="1589" t="str">
        <f>'预评函-封皮'!B40</f>
        <v>北京银河万达置业有限公司</v>
      </c>
    </row>
    <row r="4" spans="1:2" s="1590" customFormat="1">
      <c r="A4" s="1588" t="s">
        <v>1220</v>
      </c>
      <c r="B4" s="1589" t="str">
        <f ca="1">'预评函-封皮'!B46</f>
        <v>欧红伟（注册号：1120000080)、崔锴（注册号：1120100036)</v>
      </c>
    </row>
    <row r="5" spans="1:2" s="1584" customFormat="1" ht="15" thickBot="1">
      <c r="A5" s="1591" t="s">
        <v>1221</v>
      </c>
      <c r="B5" s="1592" t="str">
        <f>'预评函-封皮'!B49</f>
        <v>康正预评字号</v>
      </c>
    </row>
    <row r="6" spans="1:2" s="1587" customFormat="1" ht="15" thickTop="1">
      <c r="A6" s="1585" t="s">
        <v>1222</v>
      </c>
      <c r="B6" s="1586" t="str">
        <f>'预评函-1'!A4</f>
        <v>受贵公司委托，我公司对北京市石景山区石景山路乙18号院4号楼房地产抵押价值进行了预评估。</v>
      </c>
    </row>
    <row r="7" spans="1:2" s="1590" customFormat="1">
      <c r="A7" s="1588" t="s">
        <v>1262</v>
      </c>
      <c r="B7" s="1589" t="str">
        <f>'预评函-1'!A7</f>
        <v>估价对象为北京市石景山区石景山路乙18号院4号楼房地产，为所有。根据，估价对象（分摊）出让国有建设用地使用权面积为22271.54平方米，建筑面积为120487.72平方米。</v>
      </c>
    </row>
    <row r="8" spans="1:2" s="1590" customFormat="1">
      <c r="A8" s="1588" t="s">
        <v>1263</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1264</v>
      </c>
      <c r="B9" s="1589" t="str">
        <f>'预评函-1'!A10</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0" spans="1:2" s="1590" customFormat="1">
      <c r="A10" s="1588" t="s">
        <v>1265</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1223</v>
      </c>
      <c r="B11" s="1589" t="str">
        <f>'预评函-1'!A13</f>
        <v>为估价委托人在向渤海银行通州支行办理贷款手续过程中，确定房地产抵押贷款额度提供参考依据而评估房地产抵押价值。</v>
      </c>
    </row>
    <row r="12" spans="1:2" s="1590" customFormat="1">
      <c r="A12" s="1588" t="s">
        <v>1224</v>
      </c>
      <c r="B12" s="1589" t="str">
        <f>'预评函-1'!A15</f>
        <v>2018年3月5日（评估专业人员实地查勘之日）</v>
      </c>
    </row>
    <row r="13" spans="1:2" s="1590" customFormat="1">
      <c r="A13" s="1588" t="s">
        <v>1225</v>
      </c>
      <c r="B13" s="1589" t="str">
        <f>'预评函-1'!A18</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4" spans="1:2" s="1590" customFormat="1">
      <c r="A14" s="1588" t="s">
        <v>1226</v>
      </c>
      <c r="B14" s="1589"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1227</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1228</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1229</v>
      </c>
      <c r="B17" s="1589" t="str">
        <f>'预评函-1'!A22</f>
        <v/>
      </c>
    </row>
    <row r="18" spans="1:2" s="1584" customFormat="1" ht="15" thickBot="1">
      <c r="A18" s="1591" t="s">
        <v>1230</v>
      </c>
      <c r="B18" s="1592" t="str">
        <f>'预评函-1'!A24</f>
        <v>本次评估采用的主估价方法为成本法和收益法。</v>
      </c>
    </row>
    <row r="19" spans="1:2" s="1587" customFormat="1" ht="15" thickTop="1">
      <c r="A19" s="1585" t="s">
        <v>1231</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1232</v>
      </c>
      <c r="B20" s="1589">
        <f ca="1">'预评函-2'!D5</f>
        <v>455895</v>
      </c>
    </row>
    <row r="21" spans="1:2" s="1590" customFormat="1">
      <c r="A21" s="1588" t="s">
        <v>1233</v>
      </c>
      <c r="B21" s="1589">
        <f ca="1">'预评函-2'!D7</f>
        <v>37837</v>
      </c>
    </row>
    <row r="22" spans="1:2" s="1590" customFormat="1">
      <c r="A22" s="1588" t="s">
        <v>1234</v>
      </c>
      <c r="B22" s="1589" t="str">
        <f ca="1">'预评函-2'!D6</f>
        <v>肆拾伍亿伍仟捌佰玖拾伍万元整</v>
      </c>
    </row>
    <row r="23" spans="1:2" s="1590" customFormat="1">
      <c r="A23" s="1588" t="s">
        <v>1285</v>
      </c>
      <c r="B23" s="1589" t="str">
        <f>'预评函-2'!B8</f>
        <v>2.估价师知悉的法定优先受偿款</v>
      </c>
    </row>
    <row r="24" spans="1:2" s="1590" customFormat="1">
      <c r="A24" s="1588" t="s">
        <v>1291</v>
      </c>
      <c r="B24" s="1589">
        <f>'预评函-2'!D8</f>
        <v>0</v>
      </c>
    </row>
    <row r="25" spans="1:2" s="1590" customFormat="1">
      <c r="A25" s="1588" t="s">
        <v>1235</v>
      </c>
      <c r="B25" s="1589" t="str">
        <f>'预评函-2'!D9</f>
        <v>零元整</v>
      </c>
    </row>
    <row r="26" spans="1:2" s="1590" customFormat="1">
      <c r="A26" s="1588" t="s">
        <v>1236</v>
      </c>
      <c r="B26" s="1589">
        <f>'预评函-2'!D10</f>
        <v>0</v>
      </c>
    </row>
    <row r="27" spans="1:2" s="1590" customFormat="1">
      <c r="A27" s="1588" t="s">
        <v>1237</v>
      </c>
      <c r="B27" s="1589">
        <f>'预评函-2'!D11</f>
        <v>0</v>
      </c>
    </row>
    <row r="28" spans="1:2" s="1590" customFormat="1">
      <c r="A28" s="1588" t="s">
        <v>1238</v>
      </c>
      <c r="B28" s="1589">
        <f>'预评函-2'!D12</f>
        <v>0</v>
      </c>
    </row>
    <row r="29" spans="1:2" s="1590" customFormat="1">
      <c r="A29" s="1588" t="s">
        <v>1289</v>
      </c>
      <c r="B29" s="1589" t="str">
        <f>'预评函-2'!B13</f>
        <v>——</v>
      </c>
    </row>
    <row r="30" spans="1:2" s="1590" customFormat="1">
      <c r="A30" s="1588" t="s">
        <v>1290</v>
      </c>
      <c r="B30" s="1589" t="str">
        <f>'预评函-2'!D13</f>
        <v>——</v>
      </c>
    </row>
    <row r="31" spans="1:2" s="1590" customFormat="1">
      <c r="A31" s="1588" t="s">
        <v>1272</v>
      </c>
      <c r="B31" s="1589" t="e">
        <f>'预评函-2'!D15</f>
        <v>#VALUE!</v>
      </c>
    </row>
    <row r="32" spans="1:2" s="1590" customFormat="1">
      <c r="A32" s="1588" t="s">
        <v>1239</v>
      </c>
      <c r="B32" s="1589" t="e">
        <f>'预评函-2'!D14</f>
        <v>#VALUE!</v>
      </c>
    </row>
    <row r="33" spans="1:2" s="1590" customFormat="1">
      <c r="A33" s="1588" t="s">
        <v>1274</v>
      </c>
      <c r="B33" s="1589" t="str">
        <f>'预评函-2'!B16</f>
        <v>3.抵押担保权已注销时的房地产抵押价值</v>
      </c>
    </row>
    <row r="34" spans="1:2" s="1590" customFormat="1">
      <c r="A34" s="1588" t="s">
        <v>1292</v>
      </c>
      <c r="B34" s="1589">
        <f ca="1">'预评函-2'!D16</f>
        <v>455895</v>
      </c>
    </row>
    <row r="35" spans="1:2" s="1590" customFormat="1">
      <c r="A35" s="1588" t="s">
        <v>1273</v>
      </c>
      <c r="B35" s="1589">
        <f ca="1">'预评函-2'!D18</f>
        <v>37837</v>
      </c>
    </row>
    <row r="36" spans="1:2" s="1590" customFormat="1">
      <c r="A36" s="1588" t="s">
        <v>1240</v>
      </c>
      <c r="B36" s="1589" t="str">
        <f ca="1">'预评函-2'!D17</f>
        <v>肆拾伍亿伍仟捌佰玖拾伍万元整</v>
      </c>
    </row>
    <row r="37" spans="1:2" s="1590" customFormat="1">
      <c r="A37" s="1588" t="s">
        <v>1275</v>
      </c>
      <c r="B37" s="1589" t="str">
        <f>'预评函-2'!B19</f>
        <v>——</v>
      </c>
    </row>
    <row r="38" spans="1:2" s="1590" customFormat="1">
      <c r="A38" s="1588" t="s">
        <v>1293</v>
      </c>
      <c r="B38" s="1589" t="str">
        <f>'预评函-2'!D19</f>
        <v>——</v>
      </c>
    </row>
    <row r="39" spans="1:2" s="1590" customFormat="1">
      <c r="A39" s="1588" t="s">
        <v>1241</v>
      </c>
      <c r="B39" s="1589" t="str">
        <f>'预评函-2'!D21</f>
        <v>——</v>
      </c>
    </row>
    <row r="40" spans="1:2" s="1590" customFormat="1">
      <c r="A40" s="1588" t="s">
        <v>1242</v>
      </c>
      <c r="B40" s="1589" t="e">
        <f>'预评函-2'!D20</f>
        <v>#VALUE!</v>
      </c>
    </row>
    <row r="41" spans="1:2" s="1590" customFormat="1">
      <c r="A41" s="1588" t="s">
        <v>1288</v>
      </c>
      <c r="B41" s="1589" t="str">
        <f>'预评函-3'!A4</f>
        <v>北京市石景山区石景山路乙18号院4号楼房地产</v>
      </c>
    </row>
    <row r="42" spans="1:2" s="1590" customFormat="1">
      <c r="A42" s="1588" t="s">
        <v>1286</v>
      </c>
      <c r="B42" s="1589" t="str">
        <f>'预评函-3'!B2</f>
        <v>建筑面积</v>
      </c>
    </row>
    <row r="43" spans="1:2" s="1590" customFormat="1">
      <c r="A43" s="1588" t="s">
        <v>1287</v>
      </c>
      <c r="B43" s="1589">
        <f>'预评函-3'!B4</f>
        <v>120487.72</v>
      </c>
    </row>
    <row r="44" spans="1:2" s="1590" customFormat="1">
      <c r="A44" s="1588" t="s">
        <v>1271</v>
      </c>
      <c r="B44" s="1589" t="str">
        <f>'预评函-3'!C2</f>
        <v>(分摊)土地面积</v>
      </c>
    </row>
    <row r="45" spans="1:2" s="1590" customFormat="1">
      <c r="A45" s="1588" t="s">
        <v>1243</v>
      </c>
      <c r="B45" s="1589">
        <f>'预评函-3'!C4</f>
        <v>22271.54</v>
      </c>
    </row>
    <row r="46" spans="1:2" s="1590" customFormat="1">
      <c r="A46" s="1588" t="s">
        <v>1269</v>
      </c>
      <c r="B46" s="1589" t="str">
        <f>'预评函-3'!D2</f>
        <v>出让国有建设用地使用权价值</v>
      </c>
    </row>
    <row r="47" spans="1:2" s="1590" customFormat="1">
      <c r="A47" s="1588" t="s">
        <v>1244</v>
      </c>
      <c r="B47" s="1589" t="e">
        <f ca="1">'预评函-3'!D4</f>
        <v>#REF!</v>
      </c>
    </row>
    <row r="48" spans="1:2" s="1590" customFormat="1">
      <c r="A48" s="1588" t="s">
        <v>1245</v>
      </c>
      <c r="B48" s="1589" t="e">
        <f ca="1">'预评函-3'!E4</f>
        <v>#REF!</v>
      </c>
    </row>
    <row r="49" spans="1:2" s="1590" customFormat="1">
      <c r="A49" s="1588" t="s">
        <v>1246</v>
      </c>
      <c r="B49" s="1589" t="e">
        <f ca="1">'预评函-3'!D5</f>
        <v>#REF!</v>
      </c>
    </row>
    <row r="50" spans="1:2" s="1590" customFormat="1">
      <c r="A50" s="1588" t="s">
        <v>1270</v>
      </c>
      <c r="B50" s="1589" t="str">
        <f>'预评函-3'!F2</f>
        <v>在建建筑物价值</v>
      </c>
    </row>
    <row r="51" spans="1:2" s="1590" customFormat="1">
      <c r="A51" s="1588" t="s">
        <v>1247</v>
      </c>
      <c r="B51" s="1589" t="e">
        <f ca="1">'预评函-3'!F4</f>
        <v>#REF!</v>
      </c>
    </row>
    <row r="52" spans="1:2" s="1590" customFormat="1">
      <c r="A52" s="1588" t="s">
        <v>1248</v>
      </c>
      <c r="B52" s="1589" t="e">
        <f ca="1">'预评函-3'!G4</f>
        <v>#REF!</v>
      </c>
    </row>
    <row r="53" spans="1:2" s="1590" customFormat="1">
      <c r="A53" s="1588" t="s">
        <v>1276</v>
      </c>
      <c r="B53" s="1589" t="e">
        <f ca="1">'预评函-3'!F5</f>
        <v>#REF!</v>
      </c>
    </row>
    <row r="54" spans="1:2" s="1590" customFormat="1">
      <c r="A54" s="1588" t="s">
        <v>1294</v>
      </c>
      <c r="B54" s="1589" t="str">
        <f>'预评函-3'!A8</f>
        <v/>
      </c>
    </row>
    <row r="55" spans="1:2" s="1590" customFormat="1">
      <c r="A55" s="1588" t="s">
        <v>1277</v>
      </c>
      <c r="B55" s="1589" t="str">
        <f>'预评函-3'!A10</f>
        <v>抵押担保权已注销时的房地产抵押价值</v>
      </c>
    </row>
    <row r="56" spans="1:2" s="1590" customFormat="1">
      <c r="A56" s="1588" t="s">
        <v>1278</v>
      </c>
      <c r="B56" s="1589" t="str">
        <f>'预评函-3'!A12</f>
        <v/>
      </c>
    </row>
    <row r="57" spans="1:2" s="1584" customFormat="1" ht="15" thickBot="1">
      <c r="A57" s="1591" t="s">
        <v>1295</v>
      </c>
      <c r="B57" s="1592" t="str">
        <f>'预评函-3'!A6</f>
        <v>估价师知悉的法定优先受偿款</v>
      </c>
    </row>
    <row r="58" spans="1:2" s="1587" customFormat="1" ht="15" thickTop="1">
      <c r="A58" s="1585" t="s">
        <v>1249</v>
      </c>
      <c r="B58" s="1586" t="str">
        <f>'预评函-4'!A12</f>
        <v>2.本《评估意见函》仅供金融机构进行内部审核使用，不做其他目的之用。</v>
      </c>
    </row>
    <row r="59" spans="1:2" s="1590" customFormat="1">
      <c r="A59" s="1588" t="s">
        <v>1250</v>
      </c>
      <c r="B59" s="1589" t="str">
        <f>'预评函-4'!A13</f>
        <v>3.抵押双方在办理抵押登记手续时，应使用本公司出具的正式《房地产评估报告》，特提醒报告使用者注意。</v>
      </c>
    </row>
    <row r="60" spans="1:2" s="1590" customFormat="1">
      <c r="A60" s="1588" t="s">
        <v>1251</v>
      </c>
      <c r="B60" s="1589" t="str">
        <f>'预评函-4'!A14</f>
        <v>4.本次评估估价师所知悉的法定优先受偿款情况说明如下：</v>
      </c>
    </row>
    <row r="61" spans="1:2" s="1590" customFormat="1">
      <c r="A61" s="1588" t="s">
        <v>1252</v>
      </c>
      <c r="B61" s="1589" t="str">
        <f>'预评函-4'!A15</f>
        <v>（1）根据估价对象《房屋所有权证》复印件、《国有土地使用权》复印件，截至价值时点，估价对象抵押权未见登记。</v>
      </c>
    </row>
    <row r="62" spans="1:2" s="1590" customFormat="1">
      <c r="A62" s="1588" t="s">
        <v>1253</v>
      </c>
      <c r="B62" s="1589" t="str">
        <f>'预评函-4'!A16</f>
        <v>（2）根据《工程款支付情况说明》，截至价值时点，估价对象不存在应付未付工程款项。（只要没有施工方盖章的，均“设定”进行表述）</v>
      </c>
    </row>
    <row r="63" spans="1:2" s="1590" customFormat="1">
      <c r="A63" s="1588" t="s">
        <v>1254</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1266</v>
      </c>
      <c r="B64" s="1589" t="str">
        <f>'预评函-4'!A18</f>
        <v>故，本次评估不存在估价师知悉的法定优先受偿款</v>
      </c>
    </row>
    <row r="65" spans="1:2" s="1590" customFormat="1">
      <c r="A65" s="1588" t="s">
        <v>1255</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1256</v>
      </c>
      <c r="B66" s="1589" t="str">
        <f>'预评函-4'!A20</f>
        <v>——</v>
      </c>
    </row>
    <row r="67" spans="1:2" s="1590" customFormat="1">
      <c r="A67" s="1588" t="s">
        <v>1267</v>
      </c>
      <c r="B67" s="1589" t="str">
        <f>'预评函-4'!A21</f>
        <v>——</v>
      </c>
    </row>
    <row r="68" spans="1:2" s="1590" customFormat="1">
      <c r="A68" s="1588" t="s">
        <v>1268</v>
      </c>
      <c r="B68" s="1589" t="str">
        <f>'预评函-4'!A22</f>
        <v>8.其他需特殊说明事项：无（注意调整序号）</v>
      </c>
    </row>
    <row r="69" spans="1:2" s="1584" customFormat="1" ht="15" thickBot="1">
      <c r="A69" s="1591" t="s">
        <v>1257</v>
      </c>
      <c r="B69" s="1593">
        <f>'预评函-4'!C31</f>
        <v>42551</v>
      </c>
    </row>
    <row r="70" spans="1:2" ht="15" thickTop="1">
      <c r="A70" s="1594" t="s">
        <v>1258</v>
      </c>
      <c r="B70" s="1595" t="str">
        <f>'预评函-4'!A4</f>
        <v>欧红伟</v>
      </c>
    </row>
    <row r="71" spans="1:2">
      <c r="A71" s="1588" t="s">
        <v>1259</v>
      </c>
      <c r="B71" s="1589">
        <f ca="1">'预评函-4'!B4</f>
        <v>1120000080</v>
      </c>
    </row>
    <row r="72" spans="1:2">
      <c r="A72" s="1588" t="s">
        <v>1260</v>
      </c>
      <c r="B72" s="1597" t="str">
        <f>'预评函-4'!A5</f>
        <v>崔锴</v>
      </c>
    </row>
    <row r="73" spans="1:2" s="1584" customFormat="1" ht="15" thickBot="1">
      <c r="A73" s="1591" t="s">
        <v>1261</v>
      </c>
      <c r="B73" s="1592">
        <f ca="1">'预评函-4'!B5</f>
        <v>1120100036</v>
      </c>
    </row>
    <row r="74" spans="1:2" ht="15" thickTop="1">
      <c r="A74" s="1581" t="s">
        <v>1297</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9" sqref="AD9"/>
    </sheetView>
  </sheetViews>
  <sheetFormatPr defaultRowHeight="13.5"/>
  <cols>
    <col min="1" max="1" width="15.12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3128</v>
      </c>
      <c r="B3" s="2011" t="s">
        <v>756</v>
      </c>
      <c r="C3" s="2015" t="s">
        <v>761</v>
      </c>
      <c r="D3" s="2013" t="s">
        <v>1715</v>
      </c>
      <c r="E3" s="2013" t="s">
        <v>16</v>
      </c>
      <c r="F3" s="2013" t="s">
        <v>1716</v>
      </c>
      <c r="G3" s="2013">
        <v>50</v>
      </c>
      <c r="H3" s="2013" t="s">
        <v>1716</v>
      </c>
      <c r="I3" s="2013" t="s">
        <v>1717</v>
      </c>
      <c r="J3" s="2013" t="s">
        <v>1718</v>
      </c>
      <c r="K3" s="2013" t="s">
        <v>1719</v>
      </c>
      <c r="L3" s="2013" t="s">
        <v>1719</v>
      </c>
      <c r="M3" s="2013" t="s">
        <v>1719</v>
      </c>
      <c r="N3" s="2013" t="s">
        <v>1719</v>
      </c>
      <c r="O3" s="2013" t="s">
        <v>1719</v>
      </c>
      <c r="P3" s="2013" t="s">
        <v>1719</v>
      </c>
      <c r="Q3" s="2013" t="s">
        <v>1719</v>
      </c>
      <c r="R3" s="2013" t="s">
        <v>1139</v>
      </c>
      <c r="S3" s="2013" t="s">
        <v>1719</v>
      </c>
      <c r="T3" s="2013" t="s">
        <v>1720</v>
      </c>
      <c r="U3" s="2013" t="s">
        <v>1719</v>
      </c>
      <c r="V3" s="2013" t="s">
        <v>1721</v>
      </c>
      <c r="W3" s="2013" t="s">
        <v>1719</v>
      </c>
    </row>
    <row r="4" spans="1:23">
      <c r="A4" s="2011" t="s">
        <v>3054</v>
      </c>
      <c r="B4" s="2014" t="s">
        <v>3139</v>
      </c>
      <c r="C4" s="2012" t="s">
        <v>762</v>
      </c>
      <c r="D4" s="2013" t="s">
        <v>868</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1141</v>
      </c>
      <c r="S4" s="2013" t="s">
        <v>1725</v>
      </c>
      <c r="T4" s="2013" t="s">
        <v>1726</v>
      </c>
      <c r="U4" s="2013" t="s">
        <v>1725</v>
      </c>
      <c r="W4" s="2013" t="s">
        <v>1725</v>
      </c>
    </row>
    <row r="5" spans="1:23">
      <c r="A5" s="2011" t="s">
        <v>3130</v>
      </c>
      <c r="B5" s="2014" t="s">
        <v>3141</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1142</v>
      </c>
      <c r="S5" s="2013" t="s">
        <v>1730</v>
      </c>
      <c r="T5" s="2013" t="s">
        <v>1731</v>
      </c>
      <c r="U5" s="2013" t="s">
        <v>1730</v>
      </c>
      <c r="W5" s="2013" t="s">
        <v>1730</v>
      </c>
    </row>
    <row r="6" spans="1:23">
      <c r="A6" s="2011"/>
      <c r="B6" s="2014" t="s">
        <v>3143</v>
      </c>
      <c r="C6" s="2017" t="s">
        <v>30</v>
      </c>
      <c r="F6" s="2013" t="s">
        <v>1728</v>
      </c>
      <c r="H6" s="2013" t="s">
        <v>1732</v>
      </c>
      <c r="I6" s="2013" t="s">
        <v>1733</v>
      </c>
      <c r="K6" s="2013" t="s">
        <v>1734</v>
      </c>
      <c r="L6" s="2013" t="s">
        <v>1734</v>
      </c>
      <c r="M6" s="2013" t="s">
        <v>1734</v>
      </c>
      <c r="N6" s="2013" t="s">
        <v>1734</v>
      </c>
      <c r="O6" s="2013" t="s">
        <v>1734</v>
      </c>
      <c r="P6" s="2013" t="s">
        <v>1734</v>
      </c>
      <c r="Q6" s="2013" t="s">
        <v>1734</v>
      </c>
      <c r="R6" s="2013" t="s">
        <v>1143</v>
      </c>
      <c r="S6" s="2013" t="s">
        <v>1734</v>
      </c>
      <c r="T6" s="2013"/>
      <c r="U6" s="2013" t="s">
        <v>1734</v>
      </c>
      <c r="W6" s="2013" t="s">
        <v>1734</v>
      </c>
    </row>
    <row r="7" spans="1:23">
      <c r="A7" s="2011"/>
      <c r="B7" s="2014" t="s">
        <v>1145</v>
      </c>
      <c r="C7" s="2012" t="s">
        <v>31</v>
      </c>
      <c r="F7" s="2013" t="s">
        <v>1735</v>
      </c>
      <c r="H7" s="2013" t="s">
        <v>1736</v>
      </c>
      <c r="I7" s="2013" t="s">
        <v>1737</v>
      </c>
    </row>
    <row r="8" spans="1:23">
      <c r="A8" s="2011"/>
      <c r="B8" s="2011"/>
      <c r="C8" s="2012" t="s">
        <v>764</v>
      </c>
      <c r="F8" s="2013" t="s">
        <v>1738</v>
      </c>
      <c r="H8" s="2013"/>
      <c r="I8" s="2013" t="s">
        <v>1739</v>
      </c>
    </row>
    <row r="9" spans="1:23">
      <c r="A9" s="2011"/>
      <c r="B9" s="2011"/>
      <c r="C9" s="2012" t="s">
        <v>765</v>
      </c>
      <c r="F9" s="2013" t="s">
        <v>1740</v>
      </c>
      <c r="H9" s="2013"/>
    </row>
    <row r="10" spans="1:23">
      <c r="A10" s="2011"/>
      <c r="B10" s="2011"/>
      <c r="C10" s="2012" t="s">
        <v>766</v>
      </c>
      <c r="F10" s="2013" t="s">
        <v>16</v>
      </c>
    </row>
    <row r="11" spans="1:23">
      <c r="A11" s="2011"/>
      <c r="B11" s="2011"/>
      <c r="C11" s="2012" t="s">
        <v>767</v>
      </c>
    </row>
    <row r="12" spans="1:23">
      <c r="A12" s="2011"/>
      <c r="B12" s="2011"/>
      <c r="C12" s="2012" t="s">
        <v>768</v>
      </c>
    </row>
    <row r="13" spans="1:23">
      <c r="A13" s="2011"/>
      <c r="B13" s="2011"/>
      <c r="C13" s="2012" t="s">
        <v>769</v>
      </c>
    </row>
    <row r="14" spans="1:23">
      <c r="A14" s="2011"/>
      <c r="B14" s="2011"/>
      <c r="C14" s="2013" t="s">
        <v>16</v>
      </c>
    </row>
    <row r="15" spans="1:23">
      <c r="A15" s="2011"/>
      <c r="B15" s="2011"/>
      <c r="C15" s="2012"/>
    </row>
    <row r="16" spans="1:23">
      <c r="A16" s="2011"/>
      <c r="B16" s="1940"/>
      <c r="C16" s="2012"/>
    </row>
    <row r="17" spans="1:3">
      <c r="A17" s="2011"/>
      <c r="B17" s="2011" t="s">
        <v>757</v>
      </c>
      <c r="C17" s="2012"/>
    </row>
    <row r="18" spans="1:3">
      <c r="A18" s="2011"/>
      <c r="B18" s="2011" t="s">
        <v>757</v>
      </c>
      <c r="C18" s="2012"/>
    </row>
    <row r="19" spans="1:3">
      <c r="A19" s="2011"/>
      <c r="B19" s="2011" t="s">
        <v>757</v>
      </c>
      <c r="C19" s="2012"/>
    </row>
    <row r="20" spans="1:3">
      <c r="A20" s="2011"/>
      <c r="B20" s="2011" t="s">
        <v>757</v>
      </c>
      <c r="C20" s="2012"/>
    </row>
    <row r="21" spans="1:3">
      <c r="A21" s="2011"/>
      <c r="B21" s="2011" t="s">
        <v>757</v>
      </c>
      <c r="C21" s="2012"/>
    </row>
    <row r="22" spans="1:3">
      <c r="A22" s="2011"/>
      <c r="B22" s="2011" t="s">
        <v>757</v>
      </c>
      <c r="C22" s="2012"/>
    </row>
    <row r="23" spans="1:3">
      <c r="A23" s="2011"/>
      <c r="B23" s="2011" t="s">
        <v>757</v>
      </c>
      <c r="C23" s="2012"/>
    </row>
    <row r="24" spans="1:3">
      <c r="A24" s="2011"/>
      <c r="B24" s="2011" t="s">
        <v>757</v>
      </c>
      <c r="C24" s="2012"/>
    </row>
    <row r="25" spans="1:3">
      <c r="A25" s="2011"/>
      <c r="B25" s="2011" t="s">
        <v>757</v>
      </c>
      <c r="C25" s="2012"/>
    </row>
    <row r="26" spans="1:3">
      <c r="A26" s="2011"/>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为估价委托人在向渤海银行通州支行办理贷款手续过程中，确定房地产抵押贷款额度提供参考依据而评估房地产抵押价值。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河万达置业有限公司拟使用北京市石景山区石景山路乙18号院4号楼房地产作为抵押担保物，向渤海银行通州支行办理贷款手续。渤海银行通州支行特委托北京康正宏基房地产评估有限公司对上述抵押物进行评估。本次评估为确定房地产抵押贷款额度提供参考依据而评估房地产抵押价值。</v>
      </c>
      <c r="D51" s="2019" t="s">
        <v>1282</v>
      </c>
    </row>
    <row r="52" spans="1:4">
      <c r="A52" s="2018" t="s">
        <v>858</v>
      </c>
      <c r="B52" s="2018" t="s">
        <v>859</v>
      </c>
      <c r="C52" s="2016" t="s">
        <v>860</v>
      </c>
      <c r="D52" s="2016" t="s">
        <v>861</v>
      </c>
    </row>
    <row r="53" spans="1:4">
      <c r="A53" s="3032"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9" t="s">
        <v>864</v>
      </c>
      <c r="C54" s="2016" t="s">
        <v>1279</v>
      </c>
    </row>
    <row r="55" spans="1:4">
      <c r="A55" s="3032"/>
      <c r="B55" s="2019" t="s">
        <v>865</v>
      </c>
      <c r="C55" s="2016" t="s">
        <v>1280</v>
      </c>
    </row>
    <row r="56" spans="1:4">
      <c r="A56" s="3032"/>
      <c r="B56" s="2019" t="s">
        <v>866</v>
      </c>
      <c r="C56" s="2016" t="s">
        <v>1284</v>
      </c>
    </row>
    <row r="57" spans="1:4">
      <c r="A57" s="3032"/>
      <c r="B57" s="2019" t="s">
        <v>867</v>
      </c>
      <c r="C57" s="2016" t="s">
        <v>1281</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1741</v>
      </c>
      <c r="B1" s="3033" t="str">
        <f>IF(B10="北京市","北京市",C10)&amp;F10&amp;IF(结果表!G1="在建","出让国有建设用地使用权及在建建筑物",IF(结果表!G1="土地","出让国有建设用地使用权",))&amp;B9&amp;"预评估"</f>
        <v>北京市石景山区石景山路乙18号院4号楼房地产抵押价值预评估</v>
      </c>
      <c r="C1" s="3034"/>
      <c r="D1" s="3034"/>
      <c r="E1" s="3034"/>
      <c r="F1" s="3034"/>
      <c r="G1" s="3034"/>
      <c r="H1" s="3034"/>
      <c r="I1" s="303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北京市石景山区石景山路乙18号院4号楼房地产抵押价值</v>
      </c>
    </row>
    <row r="2" spans="1:19" ht="18" customHeight="1">
      <c r="A2" s="2023" t="s">
        <v>1742</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北京市石景山区石景山路乙18号院4号楼房地产</v>
      </c>
    </row>
    <row r="3" spans="1:19" ht="18" customHeight="1">
      <c r="A3" s="2032" t="s">
        <v>1743</v>
      </c>
      <c r="B3" s="2033">
        <v>43164</v>
      </c>
      <c r="C3" s="2034" t="s">
        <v>1744</v>
      </c>
      <c r="D3" s="2033">
        <f>B3</f>
        <v>43164</v>
      </c>
      <c r="E3" s="2023"/>
      <c r="F3" s="2023"/>
      <c r="G3" s="2023"/>
      <c r="H3" s="2023"/>
      <c r="I3" s="2023"/>
      <c r="J3" s="2023"/>
      <c r="K3" s="2024"/>
      <c r="L3" s="2025"/>
      <c r="M3" s="2025"/>
      <c r="N3" s="2026"/>
      <c r="O3" s="2027"/>
      <c r="P3" s="2026"/>
      <c r="Q3" s="2026"/>
      <c r="R3" s="2026"/>
      <c r="S3" s="2028"/>
    </row>
    <row r="4" spans="1:19" ht="18" customHeight="1" thickBot="1">
      <c r="A4" s="2035" t="s">
        <v>1745</v>
      </c>
      <c r="B4" s="2036" t="s">
        <v>3055</v>
      </c>
      <c r="C4" s="1034">
        <f ca="1">SUMIF(注册房地产估价师,B4,估价师及机构信息!B3:B24)</f>
        <v>1120000080</v>
      </c>
      <c r="D4" s="2036" t="s">
        <v>3056</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1746</v>
      </c>
      <c r="B5" s="2940" t="s">
        <v>3058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1747</v>
      </c>
      <c r="B6" s="2941"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1748</v>
      </c>
      <c r="B7" s="2942" t="s">
        <v>3058</v>
      </c>
      <c r="C7" s="2045"/>
      <c r="D7" s="2046"/>
      <c r="E7" s="2031"/>
      <c r="F7" s="2039"/>
      <c r="G7" s="2039"/>
      <c r="H7" s="2039"/>
      <c r="I7" s="2039"/>
      <c r="J7" s="2039"/>
      <c r="K7" s="2048"/>
      <c r="L7" s="2025"/>
      <c r="M7" s="2025"/>
      <c r="N7" s="2026"/>
      <c r="O7" s="2027"/>
      <c r="P7" s="2026"/>
      <c r="Q7" s="2026"/>
      <c r="R7" s="2026"/>
    </row>
    <row r="8" spans="1:19" ht="18" customHeight="1">
      <c r="A8" s="2044" t="s">
        <v>1749</v>
      </c>
      <c r="B8" s="2049" t="s">
        <v>3001</v>
      </c>
      <c r="C8" s="2050"/>
      <c r="D8" s="3036" t="s">
        <v>1750</v>
      </c>
      <c r="E8" s="2051" t="s">
        <v>3002</v>
      </c>
      <c r="F8" s="2052"/>
      <c r="G8" s="2023"/>
      <c r="H8" s="2023"/>
      <c r="I8" s="2023"/>
      <c r="J8" s="2039"/>
      <c r="K8" s="2040"/>
      <c r="L8" s="2025"/>
      <c r="M8" s="2025"/>
      <c r="N8" s="2026"/>
      <c r="O8" s="2027"/>
      <c r="P8" s="2026"/>
      <c r="Q8" s="2026"/>
      <c r="R8" s="2026"/>
    </row>
    <row r="9" spans="1:19" ht="18" customHeight="1" thickBot="1">
      <c r="A9" s="2037" t="s">
        <v>1751</v>
      </c>
      <c r="B9" s="2053" t="s">
        <v>3003</v>
      </c>
      <c r="C9" s="2054"/>
      <c r="D9" s="3037"/>
      <c r="E9" s="2053" t="s">
        <v>70</v>
      </c>
      <c r="F9" s="2055"/>
      <c r="G9" s="2056"/>
      <c r="H9" s="2056"/>
      <c r="I9" s="2056"/>
      <c r="J9" s="2039"/>
      <c r="K9" s="2048"/>
      <c r="L9" s="2025"/>
      <c r="M9" s="2025"/>
      <c r="N9" s="2026"/>
      <c r="O9" s="2027"/>
      <c r="P9" s="2026"/>
      <c r="Q9" s="2026"/>
      <c r="R9" s="2026"/>
    </row>
    <row r="10" spans="1:19" ht="18" customHeight="1" thickTop="1">
      <c r="A10" s="2057" t="s">
        <v>1752</v>
      </c>
      <c r="B10" s="2058" t="s">
        <v>3004</v>
      </c>
      <c r="C10" s="2059"/>
      <c r="D10" s="2043"/>
      <c r="E10" s="2060" t="s">
        <v>1753</v>
      </c>
      <c r="F10" s="2061" t="s">
        <v>3059</v>
      </c>
      <c r="G10" s="2062"/>
      <c r="H10" s="2063"/>
      <c r="I10" s="2043"/>
      <c r="J10" s="2039"/>
      <c r="K10" s="2048"/>
      <c r="L10" s="2025"/>
      <c r="M10" s="2025"/>
      <c r="N10" s="2026"/>
      <c r="O10" s="2027"/>
      <c r="P10" s="2026"/>
      <c r="Q10" s="2026"/>
      <c r="R10" s="2026"/>
    </row>
    <row r="11" spans="1:19" ht="18" customHeight="1">
      <c r="A11" s="2064" t="s">
        <v>1754</v>
      </c>
      <c r="B11" s="2065" t="s">
        <v>3005</v>
      </c>
      <c r="C11" s="2066"/>
      <c r="D11" s="2067"/>
      <c r="E11" s="2039"/>
      <c r="F11" s="2039"/>
      <c r="G11" s="2039"/>
      <c r="H11" s="2039"/>
      <c r="I11" s="2039"/>
      <c r="J11" s="2039"/>
      <c r="K11" s="2048"/>
      <c r="L11" s="2025"/>
      <c r="M11" s="2025"/>
      <c r="N11" s="2026"/>
      <c r="O11" s="2027"/>
      <c r="P11" s="2026"/>
      <c r="Q11" s="2026"/>
      <c r="R11" s="2026"/>
    </row>
    <row r="12" spans="1:19" ht="18" customHeight="1">
      <c r="A12" s="2068" t="s">
        <v>1755</v>
      </c>
      <c r="B12" s="2065" t="s">
        <v>3018</v>
      </c>
      <c r="C12" s="2069" t="s">
        <v>1756</v>
      </c>
      <c r="D12" s="2070" t="s">
        <v>1757</v>
      </c>
      <c r="E12" s="2070" t="s">
        <v>1758</v>
      </c>
      <c r="F12" s="2070" t="s">
        <v>1759</v>
      </c>
      <c r="G12" s="2070" t="s">
        <v>1760</v>
      </c>
      <c r="H12" s="2070" t="s">
        <v>1761</v>
      </c>
      <c r="I12" s="2070" t="s">
        <v>1762</v>
      </c>
      <c r="J12" s="2039"/>
      <c r="K12" s="2048"/>
      <c r="L12" s="2025"/>
      <c r="M12" s="2025"/>
      <c r="N12" s="2026"/>
      <c r="O12" s="2027"/>
      <c r="P12" s="2026"/>
      <c r="Q12" s="2026"/>
      <c r="R12" s="2026"/>
    </row>
    <row r="13" spans="1:19" ht="18" customHeight="1">
      <c r="A13" s="2071"/>
      <c r="B13" s="2072"/>
      <c r="C13" s="2073" t="s">
        <v>1763</v>
      </c>
      <c r="D13" s="2074"/>
      <c r="E13" s="2074">
        <v>53863</v>
      </c>
      <c r="F13" s="2074"/>
      <c r="G13" s="2074">
        <v>57516</v>
      </c>
      <c r="H13" s="1044"/>
      <c r="I13" s="1044"/>
      <c r="J13" s="2039"/>
      <c r="K13" s="2048"/>
      <c r="L13" s="2025"/>
      <c r="M13" s="2025"/>
      <c r="N13" s="2026"/>
      <c r="O13" s="2027"/>
      <c r="P13" s="2026"/>
      <c r="Q13" s="2026"/>
      <c r="R13" s="2026"/>
    </row>
    <row r="14" spans="1:19" ht="18" customHeight="1">
      <c r="A14" s="2071"/>
      <c r="B14" s="2072"/>
      <c r="C14" s="2073" t="s">
        <v>1764</v>
      </c>
      <c r="D14" s="1047"/>
      <c r="E14" s="1047">
        <v>40</v>
      </c>
      <c r="F14" s="1047"/>
      <c r="G14" s="1047">
        <v>50</v>
      </c>
      <c r="H14" s="1047"/>
      <c r="I14" s="1047"/>
      <c r="J14" s="2039"/>
      <c r="K14" s="2075"/>
      <c r="L14" s="2025"/>
      <c r="M14" s="2025"/>
      <c r="N14" s="2026"/>
      <c r="O14" s="2027"/>
      <c r="P14" s="2026"/>
      <c r="Q14" s="2026"/>
      <c r="R14" s="2026"/>
    </row>
    <row r="15" spans="1:19" ht="18" customHeight="1">
      <c r="A15" s="2057"/>
      <c r="B15" s="2076"/>
      <c r="C15" s="2073" t="s">
        <v>1765</v>
      </c>
      <c r="D15" s="1046" t="str">
        <f>IF(B12="出让",IF(D13="","",ROUNDDOWN(MIN((D13-$D$3)/365,D14),2)),D14)</f>
        <v/>
      </c>
      <c r="E15" s="1046">
        <f>IF(B12="出让",IF(E13="","",ROUNDDOWN(MIN((E13-$D$3)/365,E14),2)),E14)</f>
        <v>29.31</v>
      </c>
      <c r="F15" s="1046" t="str">
        <f>IF(B12="出让",IF(F13="","",ROUNDDOWN(MIN((F13-$D$3)/365,F14),2)),F14)</f>
        <v/>
      </c>
      <c r="G15" s="1046">
        <f>IF(B12="出让",IF(G13="","",ROUNDDOWN(MIN((G13-$D$3)/365,G14),2)),G14)</f>
        <v>39.32</v>
      </c>
      <c r="H15" s="1046" t="str">
        <f>IF(B12="出让",IF(H13="","",ROUNDDOWN(MIN((H13-$D$3)/365,H14),2)),H14)</f>
        <v/>
      </c>
      <c r="I15" s="1046" t="str">
        <f>IF(B12="出让",IF(I13="","",ROUNDDOWN(MIN((I13-$D$3)/365,I14),2)),I14)</f>
        <v/>
      </c>
      <c r="J15" s="2039"/>
      <c r="K15" s="2077"/>
      <c r="L15" s="2078"/>
      <c r="M15" s="2078"/>
      <c r="N15" s="2079"/>
      <c r="O15" s="2078"/>
      <c r="P15" s="2079"/>
      <c r="Q15" s="2026"/>
      <c r="R15" s="2026"/>
    </row>
    <row r="16" spans="1:19" ht="30.75" customHeight="1">
      <c r="A16" s="2060" t="s">
        <v>1766</v>
      </c>
      <c r="B16" s="3043"/>
      <c r="C16" s="3044"/>
      <c r="D16" s="3045"/>
      <c r="E16" s="2080" t="s">
        <v>1767</v>
      </c>
      <c r="F16" s="3046"/>
      <c r="G16" s="3047"/>
      <c r="H16" s="3047"/>
      <c r="I16" s="3048"/>
      <c r="J16" s="2026"/>
      <c r="K16" s="2077"/>
      <c r="L16" s="2078"/>
      <c r="M16" s="2078"/>
      <c r="N16" s="2079"/>
      <c r="O16" s="2078"/>
      <c r="P16" s="2079"/>
      <c r="Q16" s="2026"/>
      <c r="R16" s="2026"/>
    </row>
    <row r="17" spans="1:22" ht="18" customHeight="1">
      <c r="A17" s="2081" t="s">
        <v>1768</v>
      </c>
      <c r="B17" s="2032" t="s">
        <v>1769</v>
      </c>
      <c r="C17" s="1051">
        <f>'数据-汇总表'!E3</f>
        <v>120487.72</v>
      </c>
      <c r="D17" s="2082" t="s">
        <v>1770</v>
      </c>
      <c r="E17" s="3049" t="s">
        <v>3060</v>
      </c>
      <c r="F17" s="3050"/>
      <c r="G17" s="3050"/>
      <c r="H17" s="3050"/>
      <c r="I17" s="3051"/>
      <c r="J17" s="2026"/>
      <c r="K17" s="2083"/>
      <c r="L17" s="2078"/>
      <c r="M17" s="2078"/>
      <c r="N17" s="2079"/>
      <c r="O17" s="2078"/>
      <c r="P17" s="2079"/>
      <c r="Q17" s="2026"/>
      <c r="R17" s="2026"/>
      <c r="S17" s="2026"/>
      <c r="T17" s="2026"/>
      <c r="U17" s="2026"/>
      <c r="V17" s="2026"/>
    </row>
    <row r="18" spans="1:22" ht="36" customHeight="1" thickBot="1">
      <c r="A18" s="2084" t="s">
        <v>1771</v>
      </c>
      <c r="B18" s="2035" t="s">
        <v>1772</v>
      </c>
      <c r="C18" s="1441">
        <f>'数据-汇总表'!D3</f>
        <v>22271.54</v>
      </c>
      <c r="D18" s="2085" t="s">
        <v>1770</v>
      </c>
      <c r="E18" s="3052"/>
      <c r="F18" s="3053"/>
      <c r="G18" s="3053"/>
      <c r="H18" s="3053"/>
      <c r="I18" s="3054"/>
      <c r="J18" s="2026"/>
      <c r="K18" s="2083"/>
      <c r="L18" s="2078"/>
      <c r="M18" s="2078"/>
      <c r="N18" s="2079"/>
      <c r="O18" s="2078"/>
      <c r="P18" s="2079"/>
      <c r="Q18" s="2026"/>
      <c r="R18" s="2026"/>
      <c r="S18" s="2026"/>
      <c r="T18" s="2026"/>
      <c r="U18" s="2026"/>
      <c r="V18" s="2026"/>
    </row>
    <row r="19" spans="1:22" ht="37.5" customHeight="1" thickTop="1" thickBot="1">
      <c r="A19" s="372" t="s">
        <v>1773</v>
      </c>
      <c r="B19" s="351" t="s">
        <v>1774</v>
      </c>
      <c r="C19" s="2086" t="s">
        <v>3021</v>
      </c>
      <c r="D19" s="2087" t="s">
        <v>1775</v>
      </c>
      <c r="E19" s="2088" t="s">
        <v>70</v>
      </c>
      <c r="F19" s="2089" t="str">
        <f>IF(AND(C19="是",E19="否"),"是否提供他项权证或相关说明","")</f>
        <v/>
      </c>
      <c r="G19" s="2090" t="s">
        <v>70</v>
      </c>
      <c r="H19" s="2039"/>
      <c r="I19" s="2039"/>
      <c r="J19" s="2039"/>
      <c r="K19" s="2048"/>
      <c r="L19" s="2025"/>
      <c r="M19" s="2025"/>
      <c r="N19" s="2079"/>
      <c r="O19" s="2078"/>
      <c r="P19" s="2079"/>
      <c r="Q19" s="2026"/>
      <c r="R19" s="2026"/>
      <c r="S19" s="2026"/>
      <c r="T19" s="2026"/>
      <c r="U19" s="2026"/>
      <c r="V19" s="2026"/>
    </row>
    <row r="20" spans="1:22" ht="18" customHeight="1">
      <c r="A20" s="2091" t="s">
        <v>1776</v>
      </c>
      <c r="B20" s="3039" t="s">
        <v>1777</v>
      </c>
      <c r="C20" s="3040"/>
      <c r="D20" s="3041" t="s">
        <v>1778</v>
      </c>
      <c r="E20" s="3042"/>
      <c r="F20" s="2092" t="s">
        <v>1779</v>
      </c>
      <c r="G20" s="2039"/>
      <c r="H20" s="2039"/>
      <c r="I20" s="2039"/>
      <c r="J20" s="2039"/>
      <c r="K20" s="3038" t="s">
        <v>1780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1781</v>
      </c>
      <c r="C21" s="2094" t="s">
        <v>3061</v>
      </c>
      <c r="D21" s="2095" t="s">
        <v>1782</v>
      </c>
      <c r="E21" s="2096" t="s">
        <v>70</v>
      </c>
      <c r="F21" s="2097"/>
      <c r="G21" s="2039"/>
      <c r="H21" s="2039"/>
      <c r="I21" s="2039"/>
      <c r="J21" s="2039"/>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1783</v>
      </c>
      <c r="C22" s="2094" t="s">
        <v>1784</v>
      </c>
      <c r="D22" s="2023"/>
      <c r="E22" s="2023"/>
      <c r="F22" s="2099"/>
      <c r="G22" s="2039"/>
      <c r="H22" s="2039"/>
      <c r="I22" s="2039"/>
      <c r="J22" s="2039"/>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1785</v>
      </c>
      <c r="B23" s="182" t="s">
        <v>1786</v>
      </c>
      <c r="C23" s="2101"/>
      <c r="D23" s="2102" t="s">
        <v>1786</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2" t="s">
        <v>1787</v>
      </c>
      <c r="C24" s="2106"/>
      <c r="D24" s="2100" t="s">
        <v>1787</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2" t="s">
        <v>1788</v>
      </c>
      <c r="C25" s="2106"/>
      <c r="D25" s="2100" t="s">
        <v>1788</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1789</v>
      </c>
      <c r="C26" s="2110"/>
      <c r="D26" s="2111" t="s">
        <v>1790</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56" t="s">
        <v>1791</v>
      </c>
      <c r="B27" s="2057" t="s">
        <v>1792</v>
      </c>
      <c r="C27" s="2114" t="s">
        <v>3062</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56"/>
      <c r="B28" s="2032" t="s">
        <v>1793</v>
      </c>
      <c r="C28" s="2116" t="s">
        <v>3020</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56"/>
      <c r="B29" s="2032" t="s">
        <v>1794</v>
      </c>
      <c r="C29" s="2119" t="s">
        <v>3021</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57"/>
      <c r="B30" s="2032" t="s">
        <v>1795</v>
      </c>
      <c r="C30" s="3058"/>
      <c r="D30" s="3059"/>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60" t="s">
        <v>1796</v>
      </c>
      <c r="B31" s="2121" t="s">
        <v>3022</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61"/>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061"/>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1797</v>
      </c>
      <c r="B34" s="2128" t="s">
        <v>3023</v>
      </c>
      <c r="C34" s="2128" t="s">
        <v>3024</v>
      </c>
      <c r="D34" s="2128" t="s">
        <v>3025</v>
      </c>
      <c r="E34" s="2128" t="s">
        <v>3026</v>
      </c>
      <c r="F34" s="2128" t="s">
        <v>3027</v>
      </c>
      <c r="G34" s="2128" t="s">
        <v>3028</v>
      </c>
      <c r="H34" s="2963" t="s">
        <v>3029</v>
      </c>
      <c r="I34" s="2039"/>
      <c r="J34" s="2039"/>
      <c r="K34" s="1792">
        <f>COUNTIF(B34:H34,"——")</f>
        <v>0</v>
      </c>
      <c r="L34" s="2069" t="s">
        <v>1798</v>
      </c>
      <c r="M34" s="2069" t="s">
        <v>1799</v>
      </c>
      <c r="N34" s="2069" t="s">
        <v>1800</v>
      </c>
      <c r="O34" s="2069" t="s">
        <v>1801</v>
      </c>
      <c r="P34" s="2069" t="s">
        <v>1802</v>
      </c>
      <c r="Q34" s="2069" t="s">
        <v>1803</v>
      </c>
      <c r="R34" s="2069" t="s">
        <v>1804</v>
      </c>
      <c r="S34" s="3055" t="s">
        <v>1805</v>
      </c>
      <c r="T34" s="2129" t="str">
        <f>NUMBERSTRING(7-K34,1)&amp;"通"</f>
        <v>七通</v>
      </c>
      <c r="U34" s="2026"/>
      <c r="V34" s="2026"/>
    </row>
    <row r="35" spans="1:22" ht="18" customHeight="1">
      <c r="A35" s="2130"/>
      <c r="B35" s="3062" t="s">
        <v>1806</v>
      </c>
      <c r="C35" s="3062"/>
      <c r="D35" s="3062"/>
      <c r="E35" s="3062"/>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55"/>
      <c r="T35" s="48" t="str">
        <f>IF(T34="一通",L35,IF(T34="二通",M35,IF(T34="三通",N35,IF(T34="四通",O35,IF(T34="五通",P35,IF(T34="六通",Q35,R35))))))</f>
        <v>通路、通电、通讯、通上水、通下水、燃气、通热</v>
      </c>
      <c r="U35" s="2026"/>
      <c r="V35" s="2026"/>
    </row>
    <row r="36" spans="1:22" ht="18" customHeight="1">
      <c r="A36" s="2132"/>
      <c r="B36" s="2131" t="s">
        <v>1807</v>
      </c>
      <c r="C36" s="2131" t="s">
        <v>1808</v>
      </c>
      <c r="D36" s="2131" t="s">
        <v>1809</v>
      </c>
      <c r="E36" s="2131" t="s">
        <v>1810</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1811</v>
      </c>
      <c r="B37" s="2135" t="s">
        <v>523</v>
      </c>
      <c r="C37" s="2135"/>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1812</v>
      </c>
      <c r="B38" s="2137" t="s">
        <v>294</v>
      </c>
      <c r="C38" s="2137"/>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1813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5"/>
      <c r="L40" s="2078"/>
      <c r="M40" s="2078"/>
      <c r="N40" s="2079"/>
      <c r="O40" s="2078"/>
      <c r="P40" s="2026"/>
      <c r="Q40" s="2026"/>
      <c r="R40" s="2026"/>
      <c r="S40" s="2026"/>
      <c r="T40" s="2026"/>
      <c r="U40" s="2026"/>
      <c r="V40" s="2026"/>
    </row>
    <row r="41" spans="1:22" ht="18" customHeight="1">
      <c r="A41" s="8" t="s">
        <v>1814</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1815</v>
      </c>
      <c r="B42" s="1792" t="s">
        <v>1816</v>
      </c>
      <c r="C42" s="1792" t="s">
        <v>1817</v>
      </c>
      <c r="D42" s="1792" t="s">
        <v>1818</v>
      </c>
      <c r="E42" s="1792" t="s">
        <v>1819</v>
      </c>
      <c r="F42" s="1792" t="s">
        <v>1820</v>
      </c>
      <c r="G42" s="1792" t="s">
        <v>1821</v>
      </c>
      <c r="H42" s="1792" t="s">
        <v>1822</v>
      </c>
      <c r="I42" s="1792" t="s">
        <v>1823</v>
      </c>
      <c r="J42" s="2147" t="s">
        <v>1824</v>
      </c>
      <c r="K42" s="2070" t="s">
        <v>1825</v>
      </c>
      <c r="L42" s="2070" t="s">
        <v>1826</v>
      </c>
      <c r="M42" s="2070" t="s">
        <v>1827</v>
      </c>
      <c r="N42" s="1792" t="s">
        <v>1828</v>
      </c>
      <c r="O42" s="1792" t="s">
        <v>1829</v>
      </c>
      <c r="P42" s="1792" t="s">
        <v>1830</v>
      </c>
      <c r="Q42" s="2069" t="s">
        <v>1831</v>
      </c>
      <c r="R42" s="2069" t="s">
        <v>1832</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M16" sqref="AM16"/>
    </sheetView>
  </sheetViews>
  <sheetFormatPr defaultColWidth="8.875" defaultRowHeight="14.25"/>
  <cols>
    <col min="1" max="1" width="10.625" style="2154" customWidth="1"/>
    <col min="2" max="2" width="11" style="2154" customWidth="1"/>
    <col min="3" max="3" width="12"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1834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1835</v>
      </c>
      <c r="B2" s="11" t="s">
        <v>1836</v>
      </c>
      <c r="C2" s="11" t="s">
        <v>1837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1838</v>
      </c>
      <c r="AZ2" s="1267" t="s">
        <v>1839</v>
      </c>
      <c r="BA2" s="11" t="s">
        <v>1840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22271.54</v>
      </c>
      <c r="B3" s="14">
        <f>IF(C3="否",G5-AT5,G5)</f>
        <v>120487.72</v>
      </c>
      <c r="C3" s="2163" t="s">
        <v>1841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1842</v>
      </c>
      <c r="B5" s="1800"/>
      <c r="C5" s="1800"/>
      <c r="D5" s="1803"/>
      <c r="E5" s="16" t="s">
        <v>1</v>
      </c>
      <c r="F5" s="16">
        <f>SUM(F13:F587)</f>
        <v>0</v>
      </c>
      <c r="G5" s="16">
        <f>SUM(G13:G587)</f>
        <v>120487.72</v>
      </c>
      <c r="H5" s="16">
        <f t="shared" ref="H5:AT5" si="0">SUM(H13:H656)</f>
        <v>117436.48999999999</v>
      </c>
      <c r="I5" s="16">
        <f t="shared" si="0"/>
        <v>75088.649999999994</v>
      </c>
      <c r="J5" s="16">
        <f t="shared" si="0"/>
        <v>0</v>
      </c>
      <c r="K5" s="16">
        <f t="shared" si="0"/>
        <v>25161.47</v>
      </c>
      <c r="L5" s="16">
        <f t="shared" si="0"/>
        <v>0</v>
      </c>
      <c r="M5" s="16">
        <f t="shared" si="0"/>
        <v>17186.37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3051.23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3051.23</v>
      </c>
      <c r="AO5" s="16">
        <f t="shared" si="0"/>
        <v>0</v>
      </c>
      <c r="AP5" s="16">
        <f t="shared" si="0"/>
        <v>0</v>
      </c>
      <c r="AQ5" s="16">
        <f t="shared" si="0"/>
        <v>0</v>
      </c>
      <c r="AR5" s="16">
        <f t="shared" si="0"/>
        <v>0</v>
      </c>
      <c r="AS5" s="16">
        <f t="shared" si="0"/>
        <v>0</v>
      </c>
      <c r="AT5" s="16">
        <f t="shared" si="0"/>
        <v>0</v>
      </c>
      <c r="AU5" s="1799"/>
      <c r="AV5" s="15" t="s">
        <v>1842</v>
      </c>
      <c r="AW5" s="1800"/>
      <c r="AX5" s="1800"/>
      <c r="AY5" s="17" t="s">
        <v>3</v>
      </c>
      <c r="AZ5" s="18">
        <f t="shared" ref="AZ5:BT5" si="1">SUM(AZ13:AZ656)</f>
        <v>120487.72</v>
      </c>
      <c r="BA5" s="18">
        <f t="shared" si="1"/>
        <v>117436.48999999999</v>
      </c>
      <c r="BB5" s="18">
        <f t="shared" si="1"/>
        <v>75088.649999999994</v>
      </c>
      <c r="BC5" s="18">
        <f t="shared" si="1"/>
        <v>25161.47</v>
      </c>
      <c r="BD5" s="18">
        <f t="shared" si="1"/>
        <v>17186.37</v>
      </c>
      <c r="BE5" s="18">
        <f t="shared" si="1"/>
        <v>0</v>
      </c>
      <c r="BF5" s="18">
        <f t="shared" si="1"/>
        <v>0</v>
      </c>
      <c r="BG5" s="18">
        <f t="shared" si="1"/>
        <v>0</v>
      </c>
      <c r="BH5" s="18">
        <f t="shared" si="1"/>
        <v>0</v>
      </c>
      <c r="BI5" s="18">
        <f t="shared" si="1"/>
        <v>0</v>
      </c>
      <c r="BJ5" s="18">
        <f t="shared" si="1"/>
        <v>0</v>
      </c>
      <c r="BK5" s="18">
        <f t="shared" si="1"/>
        <v>0</v>
      </c>
      <c r="BL5" s="18">
        <f t="shared" si="1"/>
        <v>3051.23</v>
      </c>
      <c r="BM5" s="18">
        <f t="shared" si="1"/>
        <v>0</v>
      </c>
      <c r="BN5" s="18">
        <f t="shared" si="1"/>
        <v>0</v>
      </c>
      <c r="BO5" s="18">
        <f t="shared" si="1"/>
        <v>0</v>
      </c>
      <c r="BP5" s="18">
        <f t="shared" si="1"/>
        <v>0</v>
      </c>
      <c r="BQ5" s="18">
        <f t="shared" si="1"/>
        <v>0</v>
      </c>
      <c r="BR5" s="18">
        <f t="shared" si="1"/>
        <v>3051.23</v>
      </c>
      <c r="BS5" s="18">
        <f t="shared" si="1"/>
        <v>0</v>
      </c>
      <c r="BT5" s="19">
        <f t="shared" si="1"/>
        <v>0</v>
      </c>
    </row>
    <row r="6" spans="1:72" s="2172" customFormat="1" ht="12.75">
      <c r="A6" s="15" t="s">
        <v>1843</v>
      </c>
      <c r="B6" s="2169"/>
      <c r="C6" s="2169"/>
      <c r="D6" s="2170"/>
      <c r="E6" s="16">
        <f>H6+AC6+AT6</f>
        <v>22271.530000000002</v>
      </c>
      <c r="F6" s="16" t="s">
        <v>1</v>
      </c>
      <c r="G6" s="16" t="s">
        <v>2</v>
      </c>
      <c r="H6" s="20">
        <f>SUMIF(I$12:AB$12,"总值",I6:AB6)</f>
        <v>21707.530000000002</v>
      </c>
      <c r="I6" s="16">
        <f t="shared" ref="I6:AB6" si="2">ROUND($A$3*I5/$B$3,2)</f>
        <v>13879.75</v>
      </c>
      <c r="J6" s="16">
        <f t="shared" si="2"/>
        <v>0</v>
      </c>
      <c r="K6" s="16">
        <f t="shared" si="2"/>
        <v>4650.97</v>
      </c>
      <c r="L6" s="16">
        <f t="shared" si="2"/>
        <v>0</v>
      </c>
      <c r="M6" s="16">
        <f t="shared" si="2"/>
        <v>3176.81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564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564</v>
      </c>
      <c r="AO6" s="16">
        <f t="shared" si="3"/>
        <v>0</v>
      </c>
      <c r="AP6" s="16">
        <f t="shared" si="3"/>
        <v>0</v>
      </c>
      <c r="AQ6" s="16">
        <f t="shared" si="3"/>
        <v>0</v>
      </c>
      <c r="AR6" s="16">
        <f t="shared" si="3"/>
        <v>0</v>
      </c>
      <c r="AS6" s="16">
        <f t="shared" si="3"/>
        <v>0</v>
      </c>
      <c r="AT6" s="20">
        <f>IF(C3="是",ROUND($A$3*AT5/$B$3,2),0)</f>
        <v>0</v>
      </c>
      <c r="AU6" s="2171"/>
      <c r="AV6" s="15" t="s">
        <v>1843</v>
      </c>
      <c r="AW6" s="2169"/>
      <c r="AX6" s="2169"/>
      <c r="AY6" s="21">
        <f>IF(AY3&gt;0,AY3,ROUND($A$3*AZ5/$B$3,2))</f>
        <v>22271.54</v>
      </c>
      <c r="AZ6" s="16" t="s">
        <v>3</v>
      </c>
      <c r="BA6" s="16">
        <f>ROUND($AY$6*BA5/$AZ$5,2)</f>
        <v>21707.54</v>
      </c>
      <c r="BB6" s="16">
        <f>ROUND($AY$6*BB5/$AZ$5,2)</f>
        <v>13879.75</v>
      </c>
      <c r="BC6" s="16">
        <f t="shared" ref="BC6:BH6" si="4">ROUND($AY$6*BC5/$AZ$5,2)</f>
        <v>4650.97</v>
      </c>
      <c r="BD6" s="16">
        <f t="shared" si="4"/>
        <v>3176.81</v>
      </c>
      <c r="BE6" s="16">
        <f t="shared" si="4"/>
        <v>0</v>
      </c>
      <c r="BF6" s="16">
        <f t="shared" si="4"/>
        <v>0</v>
      </c>
      <c r="BG6" s="16">
        <f t="shared" si="4"/>
        <v>0</v>
      </c>
      <c r="BH6" s="16">
        <f t="shared" si="4"/>
        <v>0</v>
      </c>
      <c r="BI6" s="16">
        <f t="shared" ref="BI6:BT6" si="5">ROUND($AY$6*BI5/$AZ$5,2)</f>
        <v>0</v>
      </c>
      <c r="BJ6" s="16">
        <f t="shared" si="5"/>
        <v>0</v>
      </c>
      <c r="BK6" s="16">
        <f t="shared" si="5"/>
        <v>0</v>
      </c>
      <c r="BL6" s="16">
        <f t="shared" si="5"/>
        <v>564</v>
      </c>
      <c r="BM6" s="16">
        <f t="shared" si="5"/>
        <v>0</v>
      </c>
      <c r="BN6" s="16">
        <f t="shared" si="5"/>
        <v>0</v>
      </c>
      <c r="BO6" s="16">
        <f t="shared" si="5"/>
        <v>0</v>
      </c>
      <c r="BP6" s="16">
        <f t="shared" si="5"/>
        <v>0</v>
      </c>
      <c r="BQ6" s="16">
        <f t="shared" si="5"/>
        <v>0</v>
      </c>
      <c r="BR6" s="16">
        <f t="shared" si="5"/>
        <v>564</v>
      </c>
      <c r="BS6" s="16">
        <f t="shared" si="5"/>
        <v>0</v>
      </c>
      <c r="BT6" s="22">
        <f t="shared" si="5"/>
        <v>0</v>
      </c>
    </row>
    <row r="7" spans="1:72" s="2162" customFormat="1" ht="24.75">
      <c r="A7" s="2104" t="s">
        <v>1844</v>
      </c>
      <c r="B7" s="2104" t="s">
        <v>1845</v>
      </c>
      <c r="C7" s="2104" t="s">
        <v>1846</v>
      </c>
      <c r="D7" s="2104" t="s">
        <v>1847</v>
      </c>
      <c r="E7" s="2104" t="s">
        <v>1848</v>
      </c>
      <c r="F7" s="2104" t="s">
        <v>1849</v>
      </c>
      <c r="G7" s="2173" t="s">
        <v>1850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1851</v>
      </c>
      <c r="AV7" s="23" t="s">
        <v>1852</v>
      </c>
      <c r="AW7" s="2161" t="s">
        <v>1853</v>
      </c>
      <c r="AX7" s="23" t="s">
        <v>1846</v>
      </c>
      <c r="AY7" s="1800" t="s">
        <v>1854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1855</v>
      </c>
      <c r="H8" s="2179" t="s">
        <v>1856</v>
      </c>
      <c r="I8" s="2180"/>
      <c r="J8" s="1815"/>
      <c r="K8" s="1815"/>
      <c r="L8" s="1815"/>
      <c r="M8" s="1815"/>
      <c r="N8" s="1815"/>
      <c r="O8" s="1815"/>
      <c r="P8" s="1815"/>
      <c r="Q8" s="1815"/>
      <c r="R8" s="1815"/>
      <c r="S8" s="1815"/>
      <c r="T8" s="1815"/>
      <c r="U8" s="1815"/>
      <c r="V8" s="2181"/>
      <c r="W8" s="1815"/>
      <c r="X8" s="1815"/>
      <c r="Y8" s="1815"/>
      <c r="Z8" s="1815"/>
      <c r="AA8" s="2181"/>
      <c r="AB8" s="2182"/>
      <c r="AC8" s="978" t="s">
        <v>1857</v>
      </c>
      <c r="AD8" s="2183"/>
      <c r="AE8" s="2175"/>
      <c r="AF8" s="1815"/>
      <c r="AG8" s="1815"/>
      <c r="AH8" s="1815"/>
      <c r="AI8" s="1815"/>
      <c r="AJ8" s="1815"/>
      <c r="AK8" s="1815"/>
      <c r="AL8" s="1815"/>
      <c r="AM8" s="1815"/>
      <c r="AN8" s="1815"/>
      <c r="AO8" s="1815"/>
      <c r="AP8" s="1815"/>
      <c r="AQ8" s="1815"/>
      <c r="AR8" s="1815"/>
      <c r="AS8" s="1815"/>
      <c r="AT8" s="1289" t="s">
        <v>1858</v>
      </c>
      <c r="AU8" s="2177" t="s">
        <v>1859</v>
      </c>
      <c r="AV8" s="1289"/>
      <c r="AW8" s="2160"/>
      <c r="AX8" s="1289"/>
      <c r="AY8" s="2161" t="s">
        <v>1860</v>
      </c>
      <c r="AZ8" s="1814" t="s">
        <v>1861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1862</v>
      </c>
      <c r="I9" s="2186" t="s">
        <v>3030</v>
      </c>
      <c r="J9" s="978"/>
      <c r="K9" s="2186" t="s">
        <v>3063</v>
      </c>
      <c r="L9" s="978"/>
      <c r="M9" s="2186" t="s">
        <v>3063</v>
      </c>
      <c r="N9" s="978"/>
      <c r="O9" s="2186"/>
      <c r="P9" s="978"/>
      <c r="Q9" s="2186"/>
      <c r="R9" s="978"/>
      <c r="S9" s="2186"/>
      <c r="T9" s="978"/>
      <c r="U9" s="2186"/>
      <c r="V9" s="978"/>
      <c r="W9" s="2186"/>
      <c r="X9" s="2187"/>
      <c r="Y9" s="2186"/>
      <c r="Z9" s="978"/>
      <c r="AA9" s="2186"/>
      <c r="AB9" s="978"/>
      <c r="AC9" s="2178" t="s">
        <v>1862</v>
      </c>
      <c r="AD9" s="15" t="s">
        <v>1863</v>
      </c>
      <c r="AE9" s="1295"/>
      <c r="AF9" s="15" t="s">
        <v>1864</v>
      </c>
      <c r="AG9" s="1295"/>
      <c r="AH9" s="15" t="s">
        <v>1863</v>
      </c>
      <c r="AI9" s="1295"/>
      <c r="AJ9" s="15" t="s">
        <v>1864</v>
      </c>
      <c r="AK9" s="1295"/>
      <c r="AL9" s="15" t="s">
        <v>1863</v>
      </c>
      <c r="AM9" s="1295"/>
      <c r="AN9" s="15" t="s">
        <v>1864</v>
      </c>
      <c r="AO9" s="1295"/>
      <c r="AP9" s="15" t="s">
        <v>1863</v>
      </c>
      <c r="AQ9" s="1295"/>
      <c r="AR9" s="15" t="s">
        <v>1864</v>
      </c>
      <c r="AS9" s="2188"/>
      <c r="AT9" s="2177"/>
      <c r="AU9" s="2177" t="s">
        <v>1865</v>
      </c>
      <c r="AV9" s="1289"/>
      <c r="AW9" s="2160"/>
      <c r="AX9" s="1289"/>
      <c r="AY9" s="28"/>
      <c r="AZ9" s="28" t="s">
        <v>1855</v>
      </c>
      <c r="BA9" s="2189" t="s">
        <v>1866</v>
      </c>
      <c r="BB9" s="2190"/>
      <c r="BC9" s="1335"/>
      <c r="BD9" s="1335"/>
      <c r="BE9" s="1335"/>
      <c r="BF9" s="1335"/>
      <c r="BG9" s="1335"/>
      <c r="BH9" s="1335"/>
      <c r="BI9" s="1335"/>
      <c r="BJ9" s="1335"/>
      <c r="BK9" s="2191"/>
      <c r="BL9" s="15" t="s">
        <v>1867</v>
      </c>
      <c r="BM9" s="1815"/>
      <c r="BN9" s="2180"/>
      <c r="BO9" s="1815"/>
      <c r="BP9" s="1815"/>
      <c r="BQ9" s="1815"/>
      <c r="BR9" s="1815"/>
      <c r="BS9" s="1815"/>
      <c r="BT9" s="26"/>
    </row>
    <row r="10" spans="1:72" s="2184" customFormat="1" ht="12.75">
      <c r="A10" s="2177"/>
      <c r="B10" s="2177"/>
      <c r="C10" s="2177"/>
      <c r="D10" s="2177"/>
      <c r="E10" s="2177"/>
      <c r="F10" s="2177"/>
      <c r="G10" s="1289"/>
      <c r="H10" s="28"/>
      <c r="I10" s="2186" t="s">
        <v>1375</v>
      </c>
      <c r="J10" s="978"/>
      <c r="K10" s="2192" t="s">
        <v>1375</v>
      </c>
      <c r="L10" s="978"/>
      <c r="M10" s="2192" t="s">
        <v>3064</v>
      </c>
      <c r="N10" s="978"/>
      <c r="O10" s="2192"/>
      <c r="P10" s="978"/>
      <c r="Q10" s="2192"/>
      <c r="R10" s="978"/>
      <c r="S10" s="2192"/>
      <c r="T10" s="978"/>
      <c r="U10" s="2192"/>
      <c r="V10" s="978"/>
      <c r="W10" s="2192"/>
      <c r="X10" s="978"/>
      <c r="Y10" s="2192"/>
      <c r="Z10" s="978"/>
      <c r="AA10" s="2192"/>
      <c r="AB10" s="978"/>
      <c r="AC10" s="1289"/>
      <c r="AD10" s="15" t="s">
        <v>1868</v>
      </c>
      <c r="AE10" s="2193"/>
      <c r="AF10" s="15" t="s">
        <v>1868</v>
      </c>
      <c r="AG10" s="2193"/>
      <c r="AH10" s="15" t="s">
        <v>1869</v>
      </c>
      <c r="AI10" s="2193"/>
      <c r="AJ10" s="15" t="s">
        <v>1869</v>
      </c>
      <c r="AK10" s="2193"/>
      <c r="AL10" s="15" t="s">
        <v>1870</v>
      </c>
      <c r="AM10" s="1295"/>
      <c r="AN10" s="15" t="s">
        <v>1870</v>
      </c>
      <c r="AO10" s="1295"/>
      <c r="AP10" s="15" t="s">
        <v>1871</v>
      </c>
      <c r="AQ10" s="1295"/>
      <c r="AR10" s="15" t="s">
        <v>1871</v>
      </c>
      <c r="AS10" s="1295"/>
      <c r="AT10" s="2177"/>
      <c r="AU10" s="2177"/>
      <c r="AV10" s="1289"/>
      <c r="AW10" s="2160"/>
      <c r="AX10" s="1289"/>
      <c r="AY10" s="28"/>
      <c r="AZ10" s="28"/>
      <c r="BA10" s="2194" t="s">
        <v>1862</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1862</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3017</v>
      </c>
      <c r="J11" s="2198"/>
      <c r="K11" s="2197" t="s">
        <v>3017</v>
      </c>
      <c r="L11" s="2198"/>
      <c r="M11" s="2197" t="s">
        <v>3053</v>
      </c>
      <c r="N11" s="2198"/>
      <c r="O11" s="2197"/>
      <c r="P11" s="2198"/>
      <c r="Q11" s="2197"/>
      <c r="R11" s="2198"/>
      <c r="S11" s="2197"/>
      <c r="T11" s="2198"/>
      <c r="U11" s="2197"/>
      <c r="V11" s="2198"/>
      <c r="W11" s="2197"/>
      <c r="X11" s="2198"/>
      <c r="Y11" s="2197"/>
      <c r="Z11" s="2198"/>
      <c r="AA11" s="2197"/>
      <c r="AB11" s="2198"/>
      <c r="AC11" s="1289"/>
      <c r="AD11" s="2199" t="s">
        <v>1872</v>
      </c>
      <c r="AE11" s="1816"/>
      <c r="AF11" s="2199" t="s">
        <v>1872</v>
      </c>
      <c r="AG11" s="1816"/>
      <c r="AH11" s="2199" t="s">
        <v>1873</v>
      </c>
      <c r="AI11" s="2200"/>
      <c r="AJ11" s="2199" t="s">
        <v>1873</v>
      </c>
      <c r="AK11" s="1816"/>
      <c r="AL11" s="1814"/>
      <c r="AM11" s="1816"/>
      <c r="AN11" s="1814"/>
      <c r="AO11" s="1816"/>
      <c r="AP11" s="1814"/>
      <c r="AQ11" s="1816"/>
      <c r="AR11" s="1814"/>
      <c r="AS11" s="1816"/>
      <c r="AT11" s="2160"/>
      <c r="AU11" s="2177"/>
      <c r="AV11" s="1289"/>
      <c r="AW11" s="2160"/>
      <c r="AX11" s="1289"/>
      <c r="AY11" s="28"/>
      <c r="AZ11" s="28"/>
      <c r="BA11" s="28"/>
      <c r="BB11" s="2182" t="str">
        <f>I10</f>
        <v>商业</v>
      </c>
      <c r="BC11" s="2182" t="str">
        <f>K10</f>
        <v>商业</v>
      </c>
      <c r="BD11" s="2182" t="str">
        <f>M10</f>
        <v>车库</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1874</v>
      </c>
      <c r="J12" s="11" t="s">
        <v>1875</v>
      </c>
      <c r="K12" s="11" t="s">
        <v>1874</v>
      </c>
      <c r="L12" s="11" t="s">
        <v>1875</v>
      </c>
      <c r="M12" s="11" t="s">
        <v>1874</v>
      </c>
      <c r="N12" s="11" t="s">
        <v>1875</v>
      </c>
      <c r="O12" s="11" t="s">
        <v>1874</v>
      </c>
      <c r="P12" s="11" t="s">
        <v>1875</v>
      </c>
      <c r="Q12" s="11" t="s">
        <v>1874</v>
      </c>
      <c r="R12" s="11" t="s">
        <v>1875</v>
      </c>
      <c r="S12" s="11" t="s">
        <v>1874</v>
      </c>
      <c r="T12" s="11" t="s">
        <v>1875</v>
      </c>
      <c r="U12" s="11" t="s">
        <v>1874</v>
      </c>
      <c r="V12" s="1799" t="s">
        <v>1875</v>
      </c>
      <c r="W12" s="11" t="s">
        <v>1874</v>
      </c>
      <c r="X12" s="11" t="s">
        <v>1875</v>
      </c>
      <c r="Y12" s="11" t="s">
        <v>1874</v>
      </c>
      <c r="Z12" s="11" t="s">
        <v>1875</v>
      </c>
      <c r="AA12" s="11" t="s">
        <v>1874</v>
      </c>
      <c r="AB12" s="11" t="s">
        <v>1875</v>
      </c>
      <c r="AC12" s="2204"/>
      <c r="AD12" s="1803" t="s">
        <v>1874</v>
      </c>
      <c r="AE12" s="11" t="s">
        <v>1875</v>
      </c>
      <c r="AF12" s="11" t="s">
        <v>1874</v>
      </c>
      <c r="AG12" s="11" t="s">
        <v>1875</v>
      </c>
      <c r="AH12" s="11" t="s">
        <v>1874</v>
      </c>
      <c r="AI12" s="11" t="s">
        <v>1875</v>
      </c>
      <c r="AJ12" s="11" t="s">
        <v>1874</v>
      </c>
      <c r="AK12" s="11" t="s">
        <v>1875</v>
      </c>
      <c r="AL12" s="11" t="s">
        <v>1874</v>
      </c>
      <c r="AM12" s="11" t="s">
        <v>1875</v>
      </c>
      <c r="AN12" s="11" t="s">
        <v>1874</v>
      </c>
      <c r="AO12" s="11" t="s">
        <v>1875</v>
      </c>
      <c r="AP12" s="11" t="s">
        <v>1874</v>
      </c>
      <c r="AQ12" s="11" t="s">
        <v>1875</v>
      </c>
      <c r="AR12" s="30" t="s">
        <v>1874</v>
      </c>
      <c r="AS12" s="2202" t="s">
        <v>1875</v>
      </c>
      <c r="AT12" s="2205"/>
      <c r="AU12" s="2202"/>
      <c r="AV12" s="31"/>
      <c r="AW12" s="2161"/>
      <c r="AX12" s="31"/>
      <c r="AY12" s="2206"/>
      <c r="AZ12" s="28"/>
      <c r="BA12" s="2194"/>
      <c r="BB12" s="24" t="str">
        <f>I11</f>
        <v>商业用房</v>
      </c>
      <c r="BC12" s="2207" t="str">
        <f>K11</f>
        <v>商业用房</v>
      </c>
      <c r="BD12" s="2207" t="str">
        <f>M11</f>
        <v>地下车库用房</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26.25" customHeight="1">
      <c r="A13" s="1269"/>
      <c r="B13" s="1269"/>
      <c r="C13" s="1269" t="str">
        <f>定义!A3</f>
        <v>租约商业用房</v>
      </c>
      <c r="D13" s="2208" t="s">
        <v>3019</v>
      </c>
      <c r="E13" s="16">
        <f>IF($C$3="是",ROUND($A$3*G13/$B$3,2),ROUND($A$3*(G13-AT13)/$B$3,2))</f>
        <v>6666.85</v>
      </c>
      <c r="F13" s="32"/>
      <c r="G13" s="33">
        <f>H13+AC13+AT13</f>
        <v>36067.280000000006</v>
      </c>
      <c r="H13" s="20">
        <f>SUMIF(I$12:AB$12,"总值",I13:AB13)</f>
        <v>33016.050000000003</v>
      </c>
      <c r="I13" s="2209">
        <f>项目详细情况!I50+项目详细情况!I51+项目详细情况!I52+项目详细情况!I53</f>
        <v>12526.05</v>
      </c>
      <c r="J13" s="2209"/>
      <c r="K13" s="2209">
        <f>项目详细情况!I49</f>
        <v>20490</v>
      </c>
      <c r="L13" s="2209"/>
      <c r="M13" s="2209"/>
      <c r="N13" s="2209"/>
      <c r="O13" s="2209"/>
      <c r="P13" s="2209"/>
      <c r="Q13" s="2209"/>
      <c r="R13" s="2209"/>
      <c r="S13" s="2209"/>
      <c r="T13" s="2209"/>
      <c r="U13" s="2209"/>
      <c r="V13" s="2209"/>
      <c r="W13" s="2209"/>
      <c r="X13" s="2209"/>
      <c r="Y13" s="2209"/>
      <c r="Z13" s="2209"/>
      <c r="AA13" s="2209"/>
      <c r="AB13" s="2209"/>
      <c r="AC13" s="16">
        <f>SUMIF(AD$12:AS$12,"总值",AD13:AS13)</f>
        <v>3051.23</v>
      </c>
      <c r="AD13" s="2210"/>
      <c r="AE13" s="2210"/>
      <c r="AF13" s="2210"/>
      <c r="AG13" s="2210"/>
      <c r="AH13" s="2210"/>
      <c r="AI13" s="2210"/>
      <c r="AJ13" s="2210"/>
      <c r="AK13" s="2210"/>
      <c r="AL13" s="2210"/>
      <c r="AM13" s="2210"/>
      <c r="AN13" s="2210">
        <v>3051.23</v>
      </c>
      <c r="AO13" s="2210"/>
      <c r="AP13" s="2210"/>
      <c r="AQ13" s="2210"/>
      <c r="AR13" s="2210"/>
      <c r="AS13" s="2210"/>
      <c r="AT13" s="2211"/>
      <c r="AU13" s="2212"/>
      <c r="AV13" s="11">
        <f t="shared" ref="AV13:AX17" si="6">A13</f>
        <v>0</v>
      </c>
      <c r="AW13" s="11">
        <f t="shared" si="6"/>
        <v>0</v>
      </c>
      <c r="AX13" s="11" t="str">
        <f t="shared" si="6"/>
        <v>租约商业用房</v>
      </c>
      <c r="AY13" s="1803">
        <f>ROUND($AY$6*AZ13/$AZ$5,2)</f>
        <v>6666.85</v>
      </c>
      <c r="AZ13" s="16">
        <f>BA13+BL13</f>
        <v>36067.280000000006</v>
      </c>
      <c r="BA13" s="16">
        <f>SUM(BB13:BK13)</f>
        <v>33016.050000000003</v>
      </c>
      <c r="BB13" s="16">
        <f>IF($D13="是",I13-J13,0)</f>
        <v>12526.05</v>
      </c>
      <c r="BC13" s="16">
        <f>IF($D13="是",K13-L13,0)</f>
        <v>20490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3051.23</v>
      </c>
      <c r="BM13" s="16">
        <f>IF($D13="是",AD13-AE13,0)</f>
        <v>0</v>
      </c>
      <c r="BN13" s="16">
        <f>IF($D13="是",AF13-AG13,0)</f>
        <v>0</v>
      </c>
      <c r="BO13" s="16">
        <f>IF($D13="是",AH13-AI13,0)</f>
        <v>0</v>
      </c>
      <c r="BP13" s="16">
        <f>IF($D13="是",AJ13-AK13,0)</f>
        <v>0</v>
      </c>
      <c r="BQ13" s="16">
        <f>IF($D13="是",AL13-AM13,0)</f>
        <v>0</v>
      </c>
      <c r="BR13" s="16">
        <f>IF($D13="是",AN13-AO13,0)</f>
        <v>3051.23</v>
      </c>
      <c r="BS13" s="16">
        <f>IF($D13="是",AP13-AQ13,0)</f>
        <v>0</v>
      </c>
      <c r="BT13" s="22">
        <f>IF($D13="是",AR13-AS13,0)</f>
        <v>0</v>
      </c>
    </row>
    <row r="14" spans="1:72" s="2162" customFormat="1" ht="25.5">
      <c r="A14" s="1269"/>
      <c r="B14" s="1269"/>
      <c r="C14" s="2148" t="str">
        <f>定义!A5</f>
        <v>无租约商业用房</v>
      </c>
      <c r="D14" s="2208" t="s">
        <v>3019</v>
      </c>
      <c r="E14" s="16">
        <f>IF($C$3="是",ROUND($A$3*G14/$B$3,2),ROUND($A$3*(G14-AT14)/$B$3,2))</f>
        <v>12427.87</v>
      </c>
      <c r="F14" s="32"/>
      <c r="G14" s="33">
        <f>H14+AC14+AT14</f>
        <v>67234.069999999992</v>
      </c>
      <c r="H14" s="20">
        <f>SUMIF(I$12:AB$12,"总值",I14:AB14)</f>
        <v>67234.069999999992</v>
      </c>
      <c r="I14" s="2209">
        <f>项目详细情况!I70+项目详细情况!I71+项目详细情况!I72+项目详细情况!I73+项目详细情况!I74</f>
        <v>62562.599999999991</v>
      </c>
      <c r="J14" s="2209"/>
      <c r="K14" s="2209">
        <f>项目详细情况!I69</f>
        <v>4671.4700000000012</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无租约商业用房</v>
      </c>
      <c r="AY14" s="1803">
        <f>ROUND($AY$6*AZ14/$AZ$5,2)</f>
        <v>12427.87</v>
      </c>
      <c r="AZ14" s="16">
        <f>BA14+BL14</f>
        <v>67234.069999999992</v>
      </c>
      <c r="BA14" s="16">
        <f>SUM(BB14:BK14)</f>
        <v>67234.069999999992</v>
      </c>
      <c r="BB14" s="16">
        <f>IF($D14="是",I14-J14,0)</f>
        <v>62562.599999999991</v>
      </c>
      <c r="BC14" s="16">
        <f>IF($D14="是",K14-L14,0)</f>
        <v>4671.4700000000012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25.5">
      <c r="A15" s="1269"/>
      <c r="B15" s="1269"/>
      <c r="C15" s="2148" t="str">
        <f>定义!A4</f>
        <v>地下车库用房</v>
      </c>
      <c r="D15" s="2208" t="s">
        <v>3019</v>
      </c>
      <c r="E15" s="16">
        <f>IF($C$3="是",ROUND($A$3*G15/$B$3,2),ROUND($A$3*(G15-AT15)/$B$3,2))</f>
        <v>3176.81</v>
      </c>
      <c r="F15" s="32"/>
      <c r="G15" s="33">
        <f>H15+AC15+AT15</f>
        <v>17186.37</v>
      </c>
      <c r="H15" s="20">
        <f>SUMIF(I$12:AB$12,"总值",I15:AB15)</f>
        <v>17186.37</v>
      </c>
      <c r="I15" s="2209"/>
      <c r="J15" s="2209"/>
      <c r="K15" s="2209"/>
      <c r="L15" s="2209"/>
      <c r="M15" s="2964">
        <v>17186.37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地下车库用房</v>
      </c>
      <c r="AY15" s="1803">
        <f>ROUND($AY$6*AZ15/$AZ$5,2)</f>
        <v>3176.81</v>
      </c>
      <c r="AZ15" s="16">
        <f>BA15+BL15</f>
        <v>17186.37</v>
      </c>
      <c r="BA15" s="16">
        <f>SUM(BB15:BK15)</f>
        <v>17186.37</v>
      </c>
      <c r="BB15" s="16">
        <f>IF($D15="是",I15-J15,0)</f>
        <v>0</v>
      </c>
      <c r="BC15" s="16">
        <f>IF($D15="是",K15-L15,0)</f>
        <v>0</v>
      </c>
      <c r="BD15" s="16">
        <f>IF($D15="是",M15-N15,0)</f>
        <v>17186.37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1901</v>
      </c>
      <c r="B1" s="1389"/>
      <c r="C1" s="1389"/>
      <c r="D1" s="1389"/>
      <c r="E1" s="1389"/>
      <c r="F1" s="1389"/>
      <c r="G1" s="1389"/>
      <c r="H1" s="1389"/>
      <c r="I1" s="1389"/>
      <c r="J1" s="1389"/>
      <c r="K1" s="1389"/>
      <c r="L1" s="1389"/>
      <c r="M1" s="1389"/>
      <c r="N1" s="1389"/>
      <c r="O1" s="1389"/>
      <c r="P1" s="1389"/>
    </row>
    <row r="2" spans="1:16" ht="15">
      <c r="A2" s="3074" t="s">
        <v>1902</v>
      </c>
      <c r="B2" s="3074"/>
      <c r="C2" s="3074"/>
      <c r="D2" s="964" t="s">
        <v>1878</v>
      </c>
      <c r="E2" s="2222" t="s">
        <v>1879</v>
      </c>
      <c r="F2" s="1389"/>
      <c r="G2" s="2223"/>
      <c r="H2" s="2224"/>
      <c r="I2" s="2225" t="s">
        <v>1903</v>
      </c>
      <c r="J2" s="1389"/>
      <c r="K2" s="1389"/>
      <c r="L2" s="1389"/>
      <c r="M2" s="1389"/>
      <c r="N2" s="1424"/>
      <c r="O2" s="1389"/>
      <c r="P2" s="1389"/>
    </row>
    <row r="3" spans="1:16" ht="15.75" thickBot="1">
      <c r="A3" s="3075" t="s">
        <v>1876</v>
      </c>
      <c r="B3" s="3075"/>
      <c r="C3" s="3075"/>
      <c r="D3" s="46">
        <f>'数据-基础表'!AY6</f>
        <v>22271.54</v>
      </c>
      <c r="E3" s="46">
        <f>'数据-基础表'!AZ5</f>
        <v>120487.72</v>
      </c>
      <c r="F3" s="1389"/>
      <c r="G3" s="1396"/>
      <c r="H3" s="1244" t="s">
        <v>1877</v>
      </c>
      <c r="I3" s="55">
        <f>ROUND('数据-基础表'!B3/'数据-基础表'!A3,2)</f>
        <v>5.41</v>
      </c>
      <c r="J3" s="1389"/>
      <c r="K3" s="1389"/>
      <c r="L3" s="1389"/>
      <c r="M3" s="1389"/>
      <c r="N3" s="1424"/>
      <c r="O3" s="1389"/>
      <c r="P3" s="1389"/>
    </row>
    <row r="4" spans="1:16" ht="15">
      <c r="A4" s="3076"/>
      <c r="B4" s="3077"/>
      <c r="C4" s="3078"/>
      <c r="D4" s="2226" t="s">
        <v>1878</v>
      </c>
      <c r="E4" s="2227" t="s">
        <v>1879</v>
      </c>
      <c r="F4" s="1389"/>
      <c r="G4" s="2228" t="s">
        <v>1904</v>
      </c>
      <c r="H4" s="1244" t="s">
        <v>1884</v>
      </c>
      <c r="I4" s="55">
        <f>ROUND(SUMIF('数据-基础表'!I9:AS9,"地上",'数据-基础表'!I5:AS5)/'数据-基础表'!A3,2)</f>
        <v>3.37</v>
      </c>
      <c r="J4" s="1389"/>
      <c r="K4" s="1389"/>
      <c r="L4" s="1389"/>
      <c r="M4" s="1389"/>
      <c r="N4" s="1424"/>
      <c r="O4" s="1389"/>
      <c r="P4" s="1389"/>
    </row>
    <row r="5" spans="1:16">
      <c r="A5" s="47" t="s">
        <v>1880</v>
      </c>
      <c r="B5" s="3079" t="s">
        <v>1881</v>
      </c>
      <c r="C5" s="3079"/>
      <c r="D5" s="48">
        <f>ROUND($D$3*E5/$E$3,2)</f>
        <v>0</v>
      </c>
      <c r="E5" s="49">
        <f>SUMIF('数据-基础表'!$11:$11,"住宅",'数据-基础表'!$5:$5)</f>
        <v>0</v>
      </c>
      <c r="F5" s="1389"/>
      <c r="G5" s="1396"/>
      <c r="H5" s="1244" t="s">
        <v>1877</v>
      </c>
      <c r="I5" s="55">
        <f>ROUND(E31/D31,2)</f>
        <v>5.41</v>
      </c>
      <c r="J5" s="1389"/>
      <c r="K5" s="1389"/>
      <c r="L5" s="1389"/>
      <c r="M5" s="1389"/>
      <c r="N5" s="1389"/>
      <c r="O5" s="1389"/>
      <c r="P5" s="1389"/>
    </row>
    <row r="6" spans="1:16" ht="15" thickBot="1">
      <c r="A6" s="2229"/>
      <c r="B6" s="3079" t="s">
        <v>1882</v>
      </c>
      <c r="C6" s="3079"/>
      <c r="D6" s="48">
        <f>ROUND($D$3*E6/$E$3,2)</f>
        <v>22271.54</v>
      </c>
      <c r="E6" s="49">
        <f>E3-E5</f>
        <v>120487.72</v>
      </c>
      <c r="F6" s="1389"/>
      <c r="G6" s="2230" t="s">
        <v>1883</v>
      </c>
      <c r="H6" s="1396" t="s">
        <v>1884</v>
      </c>
      <c r="I6" s="936">
        <f>ROUND(F31/D31,2)</f>
        <v>3.37</v>
      </c>
      <c r="J6" s="1389"/>
      <c r="K6" s="1389"/>
      <c r="L6" s="1389"/>
      <c r="M6" s="1389"/>
      <c r="N6" s="1389"/>
      <c r="O6" s="1389"/>
      <c r="P6" s="1389"/>
    </row>
    <row r="7" spans="1:16" ht="15">
      <c r="A7" s="3071"/>
      <c r="B7" s="3072"/>
      <c r="C7" s="3073"/>
      <c r="D7" s="2226" t="s">
        <v>1878</v>
      </c>
      <c r="E7" s="2231" t="s">
        <v>1885</v>
      </c>
      <c r="F7" s="1389"/>
      <c r="G7" s="2223" t="s">
        <v>1886</v>
      </c>
      <c r="H7" s="64"/>
      <c r="I7" s="419"/>
      <c r="J7" s="1389"/>
      <c r="K7" s="1389"/>
      <c r="L7" s="1389"/>
      <c r="M7" s="1389"/>
      <c r="N7" s="1389"/>
      <c r="O7" s="1389"/>
      <c r="P7" s="1389"/>
    </row>
    <row r="8" spans="1:16">
      <c r="A8" s="47" t="s">
        <v>1887</v>
      </c>
      <c r="B8" s="50" t="s">
        <v>1888</v>
      </c>
      <c r="C8" s="48" t="s">
        <v>1889</v>
      </c>
      <c r="D8" s="48">
        <f t="shared" ref="D8:D15" si="0">ROUND($D$3*E8/$E$3,2)</f>
        <v>13879.75</v>
      </c>
      <c r="E8" s="51">
        <f>SUMIF('数据-基础表'!BB10:BK10,"地上",'数据-基础表'!BB5:BK5)</f>
        <v>75088.649999999994</v>
      </c>
      <c r="F8" s="1389"/>
      <c r="G8" s="2232"/>
      <c r="H8" s="2232"/>
      <c r="I8" s="1389"/>
      <c r="J8" s="1389"/>
      <c r="K8" s="1389"/>
      <c r="L8" s="1389"/>
      <c r="M8" s="1389"/>
      <c r="N8" s="1389"/>
      <c r="O8" s="1389"/>
      <c r="P8" s="1389"/>
    </row>
    <row r="9" spans="1:16">
      <c r="A9" s="2233"/>
      <c r="B9" s="2234"/>
      <c r="C9" s="48" t="s">
        <v>1890</v>
      </c>
      <c r="D9" s="48">
        <f t="shared" si="0"/>
        <v>0</v>
      </c>
      <c r="E9" s="52">
        <v>0</v>
      </c>
      <c r="F9" s="1389"/>
      <c r="G9" s="2232"/>
      <c r="H9" s="2232"/>
      <c r="I9" s="1389"/>
      <c r="J9" s="1389"/>
      <c r="K9" s="1389"/>
      <c r="L9" s="1389"/>
      <c r="M9" s="1389"/>
      <c r="N9" s="1389"/>
      <c r="O9" s="1389"/>
      <c r="P9" s="1389"/>
    </row>
    <row r="10" spans="1:16">
      <c r="A10" s="2233"/>
      <c r="B10" s="2234"/>
      <c r="C10" s="48" t="s">
        <v>1899</v>
      </c>
      <c r="D10" s="48">
        <f t="shared" si="0"/>
        <v>4650.97</v>
      </c>
      <c r="E10" s="51">
        <f>SUMPRODUCT(('数据-基础表'!BB10:BK10="地下")*('数据-基础表'!BB11:BK11="商业")*('数据-基础表'!BB5:BK5))</f>
        <v>25161.47</v>
      </c>
      <c r="F10" s="1389"/>
      <c r="G10" s="2232"/>
      <c r="H10" s="2232"/>
      <c r="I10" s="1389"/>
      <c r="J10" s="1389"/>
      <c r="K10" s="1389"/>
      <c r="L10" s="1389"/>
      <c r="M10" s="1389"/>
      <c r="N10" s="1389"/>
      <c r="O10" s="1389"/>
      <c r="P10" s="1389"/>
    </row>
    <row r="11" spans="1:16">
      <c r="A11" s="2233"/>
      <c r="B11" s="2234"/>
      <c r="C11" s="48" t="s">
        <v>1891</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1892</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1893</v>
      </c>
      <c r="D13" s="48">
        <f t="shared" si="0"/>
        <v>3176.81</v>
      </c>
      <c r="E13" s="51">
        <f>SUMPRODUCT(('数据-基础表'!BB10:BK10="地下")*('数据-基础表'!BB11:BK11="车库")*('数据-基础表'!BB5:BK5))</f>
        <v>17186.37</v>
      </c>
      <c r="F13" s="1389"/>
      <c r="G13" s="2232"/>
      <c r="H13" s="2232"/>
      <c r="I13" s="1389"/>
      <c r="J13" s="1389"/>
      <c r="K13" s="1389"/>
      <c r="L13" s="1389"/>
      <c r="M13" s="1389"/>
      <c r="N13" s="1389"/>
      <c r="O13" s="1389"/>
      <c r="P13" s="1389"/>
    </row>
    <row r="14" spans="1:16">
      <c r="A14" s="2233"/>
      <c r="B14" s="2234"/>
      <c r="C14" s="48" t="s">
        <v>1905</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1900</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1894</v>
      </c>
      <c r="D16" s="50">
        <f>SUM(D8:D15)</f>
        <v>21707.530000000002</v>
      </c>
      <c r="E16" s="53">
        <f>SUM(E8:E15)</f>
        <v>117436.48999999999</v>
      </c>
      <c r="F16" s="1389"/>
      <c r="G16" s="2232"/>
      <c r="H16" s="2235" t="s">
        <v>1906</v>
      </c>
      <c r="I16" s="2236"/>
      <c r="J16" s="1389"/>
      <c r="K16" s="3068" t="s">
        <v>1906</v>
      </c>
      <c r="L16" s="3069"/>
      <c r="M16" s="3069"/>
      <c r="N16" s="3069"/>
      <c r="O16" s="3069"/>
      <c r="P16" s="3070"/>
    </row>
    <row r="17" spans="1:19" ht="15">
      <c r="A17" s="2237" t="s">
        <v>1907</v>
      </c>
      <c r="B17" s="2238" t="s">
        <v>1908</v>
      </c>
      <c r="C17" s="2239" t="s">
        <v>1909</v>
      </c>
      <c r="D17" s="2240" t="s">
        <v>1897</v>
      </c>
      <c r="E17" s="2241" t="s">
        <v>1898</v>
      </c>
      <c r="F17" s="2242"/>
      <c r="G17" s="2243"/>
      <c r="H17" s="2244" t="s">
        <v>1910</v>
      </c>
      <c r="I17" s="2245" t="s">
        <v>1895</v>
      </c>
      <c r="J17" s="1389"/>
      <c r="K17" s="3065" t="s">
        <v>1911</v>
      </c>
      <c r="L17" s="3066"/>
      <c r="M17" s="3067"/>
      <c r="N17" s="3065" t="s">
        <v>1912</v>
      </c>
      <c r="O17" s="3066"/>
      <c r="P17" s="3067"/>
      <c r="R17" s="2223" t="s">
        <v>1913</v>
      </c>
      <c r="S17" s="64"/>
    </row>
    <row r="18" spans="1:19" ht="15">
      <c r="A18" s="2233"/>
      <c r="B18" s="2246"/>
      <c r="C18" s="2247"/>
      <c r="D18" s="2248"/>
      <c r="E18" s="2249" t="s">
        <v>1914</v>
      </c>
      <c r="F18" s="2250" t="s">
        <v>1915</v>
      </c>
      <c r="G18" s="2251" t="s">
        <v>1916</v>
      </c>
      <c r="H18" s="1259" t="s">
        <v>1917</v>
      </c>
      <c r="I18" s="2252" t="s">
        <v>1918</v>
      </c>
      <c r="J18" s="1389"/>
      <c r="K18" s="1259" t="s">
        <v>1919</v>
      </c>
      <c r="L18" s="2253" t="s">
        <v>1920</v>
      </c>
      <c r="M18" s="1043" t="s">
        <v>1921</v>
      </c>
      <c r="N18" s="1259" t="s">
        <v>1919</v>
      </c>
      <c r="O18" s="2253" t="s">
        <v>1920</v>
      </c>
      <c r="P18" s="1043" t="s">
        <v>1921</v>
      </c>
      <c r="R18" s="1244" t="s">
        <v>1922</v>
      </c>
      <c r="S18" s="1244" t="s">
        <v>1923</v>
      </c>
    </row>
    <row r="19" spans="1:19">
      <c r="A19" s="2254"/>
      <c r="B19" s="50" t="s">
        <v>1896</v>
      </c>
      <c r="C19" s="2255" t="str">
        <f>'数据-基础表'!C13</f>
        <v>租约商业用房</v>
      </c>
      <c r="D19" s="48">
        <f>ROUND($D$3*E19/$E$3,2)</f>
        <v>6102.85</v>
      </c>
      <c r="E19" s="56">
        <f t="shared" ref="E19:E26" si="1">SUM(F19:G19)</f>
        <v>33016.050000000003</v>
      </c>
      <c r="F19" s="57">
        <f>'数据-基础表'!I13</f>
        <v>12526.05</v>
      </c>
      <c r="G19" s="58">
        <f>'数据-基础表'!K13</f>
        <v>20490</v>
      </c>
      <c r="H19" s="722">
        <f>ROUND($D$3*I19/$E$3,2)</f>
        <v>158.56</v>
      </c>
      <c r="I19" s="51">
        <f t="shared" ref="I19:I26" si="2">IF($I$17="自定义",P19,M19)</f>
        <v>857.82</v>
      </c>
      <c r="J19" s="1389"/>
      <c r="K19" s="1388">
        <f t="shared" ref="K19:K26" si="3">ROUND(E$28*E19/E$27,2)</f>
        <v>857.82</v>
      </c>
      <c r="L19" s="1244">
        <f t="shared" ref="L19:L26" si="4">ROUND(IF(COUNTIF(C19,"*住宅*")&gt;0,E$29*E19/E$32,0),2)</f>
        <v>0</v>
      </c>
      <c r="M19" s="1400">
        <f>K19+L19</f>
        <v>857.82</v>
      </c>
      <c r="N19" s="2256"/>
      <c r="O19" s="2257"/>
      <c r="P19" s="1400">
        <f>N19+O19</f>
        <v>0</v>
      </c>
      <c r="R19" s="1244">
        <f t="shared" ref="R19:S26" si="5">D19+H19</f>
        <v>6261.4100000000008</v>
      </c>
      <c r="S19" s="1245">
        <f t="shared" si="5"/>
        <v>33873.870000000003</v>
      </c>
    </row>
    <row r="20" spans="1:19">
      <c r="A20" s="2258"/>
      <c r="B20" s="50" t="s">
        <v>1924</v>
      </c>
      <c r="C20" s="2255" t="str">
        <f>定义!A5</f>
        <v>无租约商业用房</v>
      </c>
      <c r="D20" s="48">
        <f t="shared" ref="D20:D26" si="6">ROUND($D$3*E20/$E$3,2)</f>
        <v>12427.87</v>
      </c>
      <c r="E20" s="56">
        <f t="shared" si="1"/>
        <v>67234.069999999992</v>
      </c>
      <c r="F20" s="57">
        <f>'数据-基础表'!I14</f>
        <v>62562.599999999991</v>
      </c>
      <c r="G20" s="58">
        <f>'数据-基础表'!K14</f>
        <v>4671.4700000000012</v>
      </c>
      <c r="H20" s="722">
        <f t="shared" ref="H20:H26" si="7">ROUND($D$3*I20/$E$3,2)</f>
        <v>322.89999999999998</v>
      </c>
      <c r="I20" s="51">
        <f t="shared" si="2"/>
        <v>1746.87</v>
      </c>
      <c r="J20" s="1389"/>
      <c r="K20" s="1388">
        <f t="shared" si="3"/>
        <v>1746.87</v>
      </c>
      <c r="L20" s="1244">
        <f t="shared" si="4"/>
        <v>0</v>
      </c>
      <c r="M20" s="1400">
        <f t="shared" ref="M20:M26" si="8">K20+L20</f>
        <v>1746.87</v>
      </c>
      <c r="N20" s="2256"/>
      <c r="O20" s="2257"/>
      <c r="P20" s="1400">
        <f t="shared" ref="P20:P26" si="9">N20+O20</f>
        <v>0</v>
      </c>
      <c r="R20" s="1244">
        <f t="shared" si="5"/>
        <v>12750.77</v>
      </c>
      <c r="S20" s="1245">
        <f t="shared" si="5"/>
        <v>68980.939999999988</v>
      </c>
    </row>
    <row r="21" spans="1:19">
      <c r="A21" s="2258"/>
      <c r="B21" s="50" t="s">
        <v>1924</v>
      </c>
      <c r="C21" s="2961" t="str">
        <f>定义!A4</f>
        <v>地下车库用房</v>
      </c>
      <c r="D21" s="48">
        <f t="shared" si="6"/>
        <v>3176.81</v>
      </c>
      <c r="E21" s="56">
        <f t="shared" si="1"/>
        <v>17186.37</v>
      </c>
      <c r="F21" s="57"/>
      <c r="G21" s="58">
        <f>'数据-基础表'!M15</f>
        <v>17186.37</v>
      </c>
      <c r="H21" s="722">
        <f t="shared" si="7"/>
        <v>82.54</v>
      </c>
      <c r="I21" s="51">
        <f t="shared" si="2"/>
        <v>446.54</v>
      </c>
      <c r="J21" s="1389"/>
      <c r="K21" s="1388">
        <f t="shared" si="3"/>
        <v>446.54</v>
      </c>
      <c r="L21" s="1244">
        <f t="shared" si="4"/>
        <v>0</v>
      </c>
      <c r="M21" s="1400">
        <f t="shared" si="8"/>
        <v>446.54</v>
      </c>
      <c r="N21" s="2256"/>
      <c r="O21" s="2257"/>
      <c r="P21" s="1400">
        <f t="shared" si="9"/>
        <v>0</v>
      </c>
      <c r="R21" s="1244">
        <f t="shared" si="5"/>
        <v>3259.35</v>
      </c>
      <c r="S21" s="1245">
        <f t="shared" si="5"/>
        <v>17632.91</v>
      </c>
    </row>
    <row r="22" spans="1:19">
      <c r="A22" s="2258"/>
      <c r="B22" s="50" t="s">
        <v>1924</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1924</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1924</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1924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1924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29.25" thickBot="1">
      <c r="A27" s="2258"/>
      <c r="B27" s="48"/>
      <c r="C27" s="2261" t="s">
        <v>1925</v>
      </c>
      <c r="D27" s="1390">
        <f>SUM(D19:D26)</f>
        <v>21707.530000000002</v>
      </c>
      <c r="E27" s="1391">
        <f>IF(SUM(E19:E26)='数据-基础表'!BA5,SUM(E19:E26),IF(F27="地上面积有误","面积有误","地下面积有误"))</f>
        <v>117436.48999999999</v>
      </c>
      <c r="F27" s="1390">
        <f>IF(SUM(F19:F26)=E8,SUM(F19:F26),"地上面积有误")</f>
        <v>75088.649999999994</v>
      </c>
      <c r="G27" s="1392">
        <f>SUM(G19:G26)</f>
        <v>42347.839999999997</v>
      </c>
      <c r="H27" s="1393">
        <f>SUM(H19:H26)</f>
        <v>564</v>
      </c>
      <c r="I27" s="1394">
        <f>SUM(I19:I26)</f>
        <v>3051.23</v>
      </c>
      <c r="J27" s="1389"/>
      <c r="K27" s="1397">
        <f>SUM(K19:K26)</f>
        <v>3051.23</v>
      </c>
      <c r="L27" s="1398">
        <f>SUM(L19:L26)</f>
        <v>0</v>
      </c>
      <c r="M27" s="1401">
        <f>SUM(M19:M26)</f>
        <v>3051.23</v>
      </c>
      <c r="N27" s="1397">
        <f t="shared" ref="N27:O27" si="10">SUM(N19:N26)</f>
        <v>0</v>
      </c>
      <c r="O27" s="1398">
        <f t="shared" si="10"/>
        <v>0</v>
      </c>
      <c r="P27" s="1399">
        <f>SUM(P19:P26)</f>
        <v>0</v>
      </c>
      <c r="R27" s="1246" t="str">
        <f>IF(SUM(R19:R26)=$D$3,SUM(R19:R26),SUM(R19:R26)&amp;"误差"&amp;ROUND(SUM(R19:R26)-$D$3,2))</f>
        <v>22271.53误差-0.01</v>
      </c>
      <c r="S27" s="1244">
        <f>IF(SUM(S19:S26)=$E$3,SUM(S19:S26),SUM(S19:S26)&amp;"误差"&amp;ROUND(SUM(S19:S26)-E3,2))</f>
        <v>120487.72</v>
      </c>
    </row>
    <row r="28" spans="1:19">
      <c r="A28" s="2258"/>
      <c r="B28" s="50" t="s">
        <v>1926</v>
      </c>
      <c r="C28" s="1256" t="s">
        <v>1927</v>
      </c>
      <c r="D28" s="48">
        <f>ROUND($D$3*E28/$E$3,2)</f>
        <v>564</v>
      </c>
      <c r="E28" s="56">
        <f>SUM(F28:G28)</f>
        <v>3051.23</v>
      </c>
      <c r="F28" s="64">
        <f>'数据-基础表'!BQ5+'数据-基础表'!BS5</f>
        <v>0</v>
      </c>
      <c r="G28" s="65">
        <f>'数据-基础表'!BR5+'数据-基础表'!BT5</f>
        <v>3051.23</v>
      </c>
      <c r="H28" s="1389"/>
      <c r="I28" s="1389"/>
      <c r="J28" s="1389"/>
      <c r="K28" s="1389"/>
      <c r="L28" s="1389"/>
      <c r="M28" s="1389"/>
      <c r="N28" s="1389"/>
      <c r="O28" s="1389"/>
      <c r="P28" s="1389"/>
    </row>
    <row r="29" spans="1:19">
      <c r="A29" s="2258"/>
      <c r="B29" s="50" t="s">
        <v>1926</v>
      </c>
      <c r="C29" s="2262" t="s">
        <v>1928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1925</v>
      </c>
      <c r="D30" s="1390">
        <f>SUM(D28:D29)</f>
        <v>564</v>
      </c>
      <c r="E30" s="1390">
        <f>SUM(E28:E29)</f>
        <v>3051.23</v>
      </c>
      <c r="F30" s="1390">
        <f>SUM(F28:F29)</f>
        <v>0</v>
      </c>
      <c r="G30" s="1392">
        <f>SUM(G28:G29)</f>
        <v>3051.23</v>
      </c>
      <c r="H30" s="1389"/>
      <c r="I30" s="1389"/>
      <c r="J30" s="1389"/>
      <c r="K30" s="1389"/>
      <c r="L30" s="1389"/>
      <c r="M30" s="1389"/>
      <c r="N30" s="1389"/>
      <c r="O30" s="1389"/>
      <c r="P30" s="1389"/>
    </row>
    <row r="31" spans="1:19" ht="15.75" thickBot="1">
      <c r="A31" s="2264"/>
      <c r="B31" s="2265"/>
      <c r="C31" s="1004" t="s">
        <v>1929</v>
      </c>
      <c r="D31" s="728">
        <f>D27+D30</f>
        <v>22271.530000000002</v>
      </c>
      <c r="E31" s="728">
        <f>E27+E30</f>
        <v>120487.71999999999</v>
      </c>
      <c r="F31" s="729">
        <f>F27+F30</f>
        <v>75088.649999999994</v>
      </c>
      <c r="G31" s="730">
        <f>G27+G30</f>
        <v>45399.07</v>
      </c>
      <c r="H31" s="1389"/>
      <c r="I31" s="1389"/>
      <c r="J31" s="1389"/>
      <c r="K31" s="1389"/>
      <c r="L31" s="1389"/>
      <c r="M31" s="1389"/>
      <c r="N31" s="1389"/>
      <c r="O31" s="1389"/>
      <c r="P31" s="1389"/>
    </row>
    <row r="32" spans="1:19">
      <c r="A32" s="2228"/>
      <c r="B32" s="2228" t="s">
        <v>1930</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1931</v>
      </c>
      <c r="B1" s="731"/>
      <c r="C1" s="1578"/>
      <c r="D1" s="2268"/>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1932</v>
      </c>
      <c r="B2" s="1263">
        <f>项目基本情况!D3</f>
        <v>43164</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1933</v>
      </c>
      <c r="B4" s="2276"/>
      <c r="C4" s="2277"/>
      <c r="D4" s="2278"/>
      <c r="E4" s="2277" t="s">
        <v>1934</v>
      </c>
      <c r="F4" s="2277"/>
      <c r="G4" s="2277"/>
      <c r="H4" s="2277"/>
      <c r="I4" s="2277"/>
      <c r="J4" s="2279"/>
      <c r="K4" s="2280"/>
      <c r="L4" s="2281"/>
      <c r="M4" s="2277"/>
      <c r="N4" s="2277" t="s">
        <v>1935</v>
      </c>
      <c r="O4" s="2277"/>
      <c r="P4" s="2277"/>
      <c r="Q4" s="2277"/>
      <c r="R4" s="2277"/>
      <c r="S4" s="2279"/>
      <c r="T4" s="2282" t="str">
        <f>'数据-汇总表'!I17</f>
        <v>按面积比例</v>
      </c>
      <c r="U4" s="2276" t="s">
        <v>1936</v>
      </c>
      <c r="V4" s="2277"/>
      <c r="W4" s="2277"/>
      <c r="X4" s="2277"/>
      <c r="Y4" s="2279"/>
      <c r="Z4" s="2239" t="s">
        <v>1937</v>
      </c>
      <c r="AA4" s="2239"/>
      <c r="AB4" s="2239"/>
      <c r="AC4" s="2239"/>
      <c r="AD4" s="2239"/>
      <c r="AE4" s="2237" t="s">
        <v>1938</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1939</v>
      </c>
      <c r="B5" s="2285" t="s">
        <v>1940</v>
      </c>
      <c r="C5" s="2286" t="s">
        <v>1941</v>
      </c>
      <c r="D5" s="2287" t="s">
        <v>1942</v>
      </c>
      <c r="E5" s="1265" t="s">
        <v>1943</v>
      </c>
      <c r="F5" s="2288" t="s">
        <v>1944</v>
      </c>
      <c r="G5" s="1265" t="s">
        <v>1945</v>
      </c>
      <c r="H5" s="1265" t="s">
        <v>1946</v>
      </c>
      <c r="I5" s="1265" t="s">
        <v>1947</v>
      </c>
      <c r="J5" s="2289" t="s">
        <v>1948</v>
      </c>
      <c r="K5" s="2290" t="s">
        <v>1949</v>
      </c>
      <c r="L5" s="2291" t="s">
        <v>1950</v>
      </c>
      <c r="M5" s="2292" t="s">
        <v>1951</v>
      </c>
      <c r="N5" s="2293" t="s">
        <v>3031</v>
      </c>
      <c r="O5" s="2291" t="s">
        <v>1952</v>
      </c>
      <c r="P5" s="2294" t="s">
        <v>1953</v>
      </c>
      <c r="Q5" s="69" t="s">
        <v>1954</v>
      </c>
      <c r="R5" s="2295" t="s">
        <v>1955</v>
      </c>
      <c r="S5" s="2296" t="s">
        <v>1956</v>
      </c>
      <c r="T5" s="2297" t="s">
        <v>1957</v>
      </c>
      <c r="U5" s="1264" t="s">
        <v>1958</v>
      </c>
      <c r="V5" s="1265" t="s">
        <v>1959</v>
      </c>
      <c r="W5" s="1265" t="s">
        <v>1960</v>
      </c>
      <c r="X5" s="71"/>
      <c r="Y5" s="70" t="s">
        <v>1961</v>
      </c>
      <c r="Z5" s="2298" t="s">
        <v>1958</v>
      </c>
      <c r="AA5" s="1265" t="s">
        <v>1959</v>
      </c>
      <c r="AB5" s="1265" t="s">
        <v>1960</v>
      </c>
      <c r="AC5" s="71"/>
      <c r="AD5" s="71" t="s">
        <v>1961</v>
      </c>
      <c r="AE5" s="1264" t="s">
        <v>1962</v>
      </c>
      <c r="AF5" s="1265" t="s">
        <v>1963</v>
      </c>
      <c r="AG5" s="70" t="s">
        <v>1964</v>
      </c>
      <c r="AH5" s="1264" t="s">
        <v>1965</v>
      </c>
      <c r="AI5" s="2298" t="s">
        <v>1966</v>
      </c>
      <c r="AJ5" s="2298" t="s">
        <v>1967</v>
      </c>
      <c r="AK5" s="1265" t="s">
        <v>1968</v>
      </c>
      <c r="AL5" s="1265" t="s">
        <v>1969</v>
      </c>
      <c r="AM5" s="70" t="s">
        <v>1970</v>
      </c>
      <c r="AN5" s="2299" t="s">
        <v>1971</v>
      </c>
      <c r="AO5" s="2069" t="s">
        <v>1972</v>
      </c>
      <c r="AP5" s="1246" t="s">
        <v>1973</v>
      </c>
      <c r="AQ5" s="2300" t="s">
        <v>1974</v>
      </c>
      <c r="AR5" s="2300" t="s">
        <v>1975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租约商业用房</v>
      </c>
      <c r="B6" s="2302" t="str">
        <f>IF(A6=0,"","经营性")</f>
        <v>经营性</v>
      </c>
      <c r="C6" s="2303" t="s">
        <v>1375</v>
      </c>
      <c r="D6" s="1048">
        <f>SUMIF(项目基本情况!D$12:I$12,C6,项目基本情况!D$14:I$14)</f>
        <v>40</v>
      </c>
      <c r="E6" s="1045">
        <f>IF(B6="","",SUMIF(项目基本情况!D$12:I$12,C6,项目基本情况!D$13:I$13))</f>
        <v>53863</v>
      </c>
      <c r="F6" s="72">
        <f>SUMIF(项目基本情况!D$12:I$12,C6,项目基本情况!D$15:I$15)</f>
        <v>29.31</v>
      </c>
      <c r="G6" s="73">
        <f>IF(ISERROR(ROUND(POWER(1+H6,D6-F6)*(POWER(1+H6,F6)-1)/(POWER(1+H6,D6)-1),3)),0,ROUND(POWER(1+H6,D6-F6)*(POWER(1+H6,F6)-1)/(POWER(1+H6,D6)-1),3))</f>
        <v>0.875</v>
      </c>
      <c r="H6" s="2965">
        <v>4.4999999999999998E-2</v>
      </c>
      <c r="I6" s="801">
        <v>5.5E-2</v>
      </c>
      <c r="J6" s="74">
        <v>8.5000000000000006E-2</v>
      </c>
      <c r="K6" s="1248">
        <f>SUMIF('数据-汇总表'!C$19:C$33,A6,'数据-汇总表'!E$19:E$33)</f>
        <v>33016.050000000003</v>
      </c>
      <c r="L6" s="802">
        <v>4500</v>
      </c>
      <c r="M6" s="75">
        <f t="shared" ref="M6:M14" si="0">ROUND(K6*L6/10000,0)</f>
        <v>14857</v>
      </c>
      <c r="N6" s="800">
        <f>ROUND(1-(2018-2008)/60,2)</f>
        <v>0.83</v>
      </c>
      <c r="O6" s="75" t="str">
        <f>IF($N$5="成新度","——",ROUND(M6*N6,0))</f>
        <v>——</v>
      </c>
      <c r="P6" s="76" t="str">
        <f>IF($N$5="成新度","——",M6-O6)</f>
        <v>——</v>
      </c>
      <c r="Q6" s="803">
        <v>0.25</v>
      </c>
      <c r="R6" s="77">
        <f ca="1">SUMIF('数据-汇总表'!C$19:C$33,A6,'数据-汇总表'!R$19:R$27)</f>
        <v>6261.4100000000008</v>
      </c>
      <c r="S6" s="54">
        <f>IF('数据-汇总表'!$I$17="按面积比例",SUMIF('数据-汇总表'!C$19:C$33,A6,'数据-汇总表'!K$19:K$33),SUMIF('数据-汇总表'!C$19:C$33,A6,'数据-汇总表'!N$19:N$33))</f>
        <v>857.82</v>
      </c>
      <c r="T6" s="1440">
        <f>ROUND($L$14*S6/10000,0)</f>
        <v>257</v>
      </c>
      <c r="U6" s="78">
        <v>5.4</v>
      </c>
      <c r="V6" s="79">
        <v>0</v>
      </c>
      <c r="W6" s="79">
        <v>0</v>
      </c>
      <c r="X6" s="1258"/>
      <c r="Y6" s="80">
        <f>N6</f>
        <v>0.83</v>
      </c>
      <c r="Z6" s="81">
        <f>ROUND(6.6*(1+AA6)^AF6,2)</f>
        <v>10.09</v>
      </c>
      <c r="AA6" s="74">
        <f>V7</f>
        <v>0.04</v>
      </c>
      <c r="AB6" s="74">
        <v>0.1</v>
      </c>
      <c r="AC6" s="1258"/>
      <c r="AD6" s="82">
        <f>ROUND(1-(2037-2008)/60,2)</f>
        <v>0.52</v>
      </c>
      <c r="AE6" s="1259">
        <f ca="1">IF(AN6="",0,SUMIF(INDIRECT("'"&amp;AN6&amp;"'"&amp;"!E:E"),$AE$5,INDIRECT("'"&amp;AN6&amp;"'"&amp;"!F:F")))</f>
        <v>29.31</v>
      </c>
      <c r="AF6" s="2970">
        <v>10.82</v>
      </c>
      <c r="AG6" s="146">
        <f ca="1">IF(AF6="",0,AE6-AF6)</f>
        <v>18.489999999999998</v>
      </c>
      <c r="AH6" s="83"/>
      <c r="AI6" s="85">
        <v>365</v>
      </c>
      <c r="AJ6" s="86"/>
      <c r="AK6" s="87">
        <v>0.02</v>
      </c>
      <c r="AL6" s="88">
        <v>2E-3</v>
      </c>
      <c r="AM6" s="89">
        <v>0.02</v>
      </c>
      <c r="AN6" s="2304" t="s">
        <v>3140</v>
      </c>
      <c r="AO6" s="55">
        <f ca="1">SUMIF(INDIRECT("'"&amp;AN6&amp;"'"&amp;"!A:A"),"总价",INDIRECT("'"&amp;AN6&amp;"'"&amp;"!B:B"))</f>
        <v>110070</v>
      </c>
      <c r="AP6" s="2305">
        <f>IF(C6="住宅",K6*L6,0)</f>
        <v>0</v>
      </c>
      <c r="AQ6" s="55">
        <f>ROUND($L$14*$N$14*S6/10000,0)</f>
        <v>214</v>
      </c>
      <c r="AR6" s="55">
        <f>ROUND($L$14*(1-$N$14)*S6/10000,0)</f>
        <v>44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无租约商业用房</v>
      </c>
      <c r="B7" s="2302" t="str">
        <f t="shared" ref="B7:B13" si="1">IF(A7=0,"","经营性")</f>
        <v>经营性</v>
      </c>
      <c r="C7" s="2987" t="s">
        <v>1375</v>
      </c>
      <c r="D7" s="1048">
        <f>SUMIF(项目基本情况!D$12:I$12,C7,项目基本情况!D$14:I$14)</f>
        <v>40</v>
      </c>
      <c r="E7" s="1045">
        <f>IF(B7="","",SUMIF(项目基本情况!D$12:I$12,C7,项目基本情况!D$13:I$13))</f>
        <v>53863</v>
      </c>
      <c r="F7" s="72">
        <f>SUMIF(项目基本情况!D$12:I$12,C7,项目基本情况!D$15:I$15)</f>
        <v>29.31</v>
      </c>
      <c r="G7" s="73">
        <f t="shared" ref="G7:G11" si="2">IF(ISERROR(ROUND(POWER(1+H7,D7-F7)*(POWER(1+H7,F7)-1)/(POWER(1+H7,D7)-1),3)),0,ROUND(POWER(1+H7,D7-F7)*(POWER(1+H7,F7)-1)/(POWER(1+H7,D7)-1),3))</f>
        <v>0.875</v>
      </c>
      <c r="H7" s="2965">
        <v>4.4999999999999998E-2</v>
      </c>
      <c r="I7" s="801">
        <v>5.5E-2</v>
      </c>
      <c r="J7" s="74">
        <v>8.5000000000000006E-2</v>
      </c>
      <c r="K7" s="1248">
        <f>SUMIF('数据-汇总表'!C$19:C$33,A7,'数据-汇总表'!E$19:E$33)</f>
        <v>67234.069999999992</v>
      </c>
      <c r="L7" s="802">
        <v>4500</v>
      </c>
      <c r="M7" s="75">
        <f t="shared" si="0"/>
        <v>30255</v>
      </c>
      <c r="N7" s="800">
        <f>ROUND(1-(2018-2008)/60,2)</f>
        <v>0.83</v>
      </c>
      <c r="O7" s="75" t="str">
        <f t="shared" ref="O7:O14" si="3">IF($N$5="成新度","——",ROUND(M7*N7,0))</f>
        <v>——</v>
      </c>
      <c r="P7" s="76" t="str">
        <f t="shared" ref="P7:P14" si="4">IF($N$5="成新度","——",M7-O7)</f>
        <v>——</v>
      </c>
      <c r="Q7" s="2968">
        <f>Q6</f>
        <v>0.25</v>
      </c>
      <c r="R7" s="77">
        <f ca="1">SUMIF('数据-汇总表'!C$19:C$33,A7,'数据-汇总表'!R$19:R$27)</f>
        <v>12750.77</v>
      </c>
      <c r="S7" s="54">
        <f>IF('数据-汇总表'!$I$17="按面积比例",SUMIF('数据-汇总表'!C$19:C$33,A7,'数据-汇总表'!K$19:K$33),SUMIF('数据-汇总表'!C$19:C$33,A7,'数据-汇总表'!N$19:N$33))</f>
        <v>1746.87</v>
      </c>
      <c r="T7" s="1440">
        <f t="shared" ref="T7:T13" si="5">ROUND($L$14*S7/10000,0)</f>
        <v>524</v>
      </c>
      <c r="U7" s="78">
        <v>9.8000000000000007</v>
      </c>
      <c r="V7" s="79">
        <v>0.04</v>
      </c>
      <c r="W7" s="79">
        <v>0.1</v>
      </c>
      <c r="X7" s="1258"/>
      <c r="Y7" s="80">
        <f>N7</f>
        <v>0.83</v>
      </c>
      <c r="Z7" s="81"/>
      <c r="AA7" s="74"/>
      <c r="AB7" s="74"/>
      <c r="AC7" s="1258"/>
      <c r="AD7" s="82"/>
      <c r="AE7" s="1259">
        <f t="shared" ref="AE7:AE13" ca="1" si="6">IF(AN7="",0,SUMIF(INDIRECT("'"&amp;AN7&amp;"'"&amp;"!E:E"),$AE$5,INDIRECT("'"&amp;AN7&amp;"'"&amp;"!F:F")))</f>
        <v>29.31</v>
      </c>
      <c r="AF7" s="1801"/>
      <c r="AG7" s="146">
        <f t="shared" ref="AG7:AG13" si="7">IF(AF7="",0,AE7-AF7)</f>
        <v>0</v>
      </c>
      <c r="AH7" s="83"/>
      <c r="AI7" s="85">
        <v>365</v>
      </c>
      <c r="AJ7" s="86"/>
      <c r="AK7" s="87">
        <v>0.02</v>
      </c>
      <c r="AL7" s="88">
        <v>2E-3</v>
      </c>
      <c r="AM7" s="89">
        <v>0.02</v>
      </c>
      <c r="AN7" s="2304" t="s">
        <v>3138</v>
      </c>
      <c r="AO7" s="55">
        <f t="shared" ref="AO7:AO13" ca="1" si="8">SUMIF(INDIRECT("'"&amp;AN7&amp;"'"&amp;"!A:A"),"总价",INDIRECT("'"&amp;AN7&amp;"'"&amp;"!B:B"))</f>
        <v>374762</v>
      </c>
      <c r="AP7" s="2305">
        <f t="shared" ref="AP7:AP13" si="9">IF(C7="住宅",K7*L7,0)</f>
        <v>0</v>
      </c>
      <c r="AQ7" s="55">
        <f t="shared" ref="AQ7:AQ13" si="10">ROUND($L$14*$N$14*S7/10000,0)</f>
        <v>435</v>
      </c>
      <c r="AR7" s="55">
        <f t="shared" ref="AR7:AR13" si="11">ROUND($L$14*(1-$N$14)*S7/10000,0)</f>
        <v>89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地下车库用房</v>
      </c>
      <c r="B8" s="2302" t="str">
        <f t="shared" si="1"/>
        <v>经营性</v>
      </c>
      <c r="C8" s="2303" t="s">
        <v>3064</v>
      </c>
      <c r="D8" s="1048">
        <f>SUMIF(项目基本情况!D$12:I$12,C8,项目基本情况!D$14:I$14)</f>
        <v>50</v>
      </c>
      <c r="E8" s="1045">
        <f>IF(B8="","",SUMIF(项目基本情况!D$12:I$12,C8,项目基本情况!D$13:I$13))</f>
        <v>57516</v>
      </c>
      <c r="F8" s="72">
        <f>SUMIF(项目基本情况!D$12:I$12,C8,项目基本情况!D$15:I$15)</f>
        <v>39.32</v>
      </c>
      <c r="G8" s="73">
        <f t="shared" si="2"/>
        <v>0.91500000000000004</v>
      </c>
      <c r="H8" s="2965">
        <v>0.04</v>
      </c>
      <c r="I8" s="801">
        <v>4.4999999999999998E-2</v>
      </c>
      <c r="J8" s="74">
        <v>8.5000000000000006E-2</v>
      </c>
      <c r="K8" s="1248">
        <f>SUMIF('数据-汇总表'!C$19:C$33,A8,'数据-汇总表'!E$19:E$33)</f>
        <v>17186.37</v>
      </c>
      <c r="L8" s="802">
        <v>3000</v>
      </c>
      <c r="M8" s="75">
        <f>ROUND(K8*L8/10000,0)</f>
        <v>5156</v>
      </c>
      <c r="N8" s="800">
        <f>ROUND(1-(2018-2008)/60,2)</f>
        <v>0.83</v>
      </c>
      <c r="O8" s="75" t="str">
        <f t="shared" si="3"/>
        <v>——</v>
      </c>
      <c r="P8" s="76" t="str">
        <f t="shared" si="4"/>
        <v>——</v>
      </c>
      <c r="Q8" s="803">
        <v>0.1</v>
      </c>
      <c r="R8" s="77">
        <f ca="1">SUMIF('数据-汇总表'!C$19:C$33,A8,'数据-汇总表'!R$19:R$27)</f>
        <v>3259.35</v>
      </c>
      <c r="S8" s="54">
        <f>IF('数据-汇总表'!$I$17="按面积比例",SUMIF('数据-汇总表'!C$19:C$33,A8,'数据-汇总表'!K$19:K$33),SUMIF('数据-汇总表'!C$19:C$33,A8,'数据-汇总表'!N$19:N$33))</f>
        <v>446.54</v>
      </c>
      <c r="T8" s="1440">
        <f t="shared" si="5"/>
        <v>134</v>
      </c>
      <c r="U8" s="804">
        <v>1200</v>
      </c>
      <c r="V8" s="2969">
        <v>2.5000000000000001E-2</v>
      </c>
      <c r="W8" s="805">
        <v>0.1</v>
      </c>
      <c r="X8" s="1258"/>
      <c r="Y8" s="80">
        <f>N8</f>
        <v>0.83</v>
      </c>
      <c r="Z8" s="81"/>
      <c r="AA8" s="74"/>
      <c r="AB8" s="74"/>
      <c r="AC8" s="1258"/>
      <c r="AD8" s="82"/>
      <c r="AE8" s="1259">
        <f t="shared" ca="1" si="6"/>
        <v>39.32</v>
      </c>
      <c r="AF8" s="1801"/>
      <c r="AG8" s="146">
        <f t="shared" si="7"/>
        <v>0</v>
      </c>
      <c r="AH8" s="2971">
        <f>ROUNDDOWN(K8/25,0)</f>
        <v>687</v>
      </c>
      <c r="AI8" s="85">
        <v>12</v>
      </c>
      <c r="AJ8" s="86"/>
      <c r="AK8" s="87">
        <v>1.4999999999999999E-2</v>
      </c>
      <c r="AL8" s="88">
        <v>1.5E-3</v>
      </c>
      <c r="AM8" s="89">
        <v>0.01</v>
      </c>
      <c r="AN8" s="2304" t="s">
        <v>3142</v>
      </c>
      <c r="AO8" s="55">
        <f t="shared" ca="1" si="8"/>
        <v>17085</v>
      </c>
      <c r="AP8" s="2305">
        <f t="shared" si="9"/>
        <v>0</v>
      </c>
      <c r="AQ8" s="55">
        <f t="shared" si="10"/>
        <v>111</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1976</v>
      </c>
      <c r="B14" s="2302" t="s">
        <v>1977</v>
      </c>
      <c r="C14" s="2307" t="s">
        <v>1976</v>
      </c>
      <c r="D14" s="1048"/>
      <c r="E14" s="1045"/>
      <c r="F14" s="72"/>
      <c r="G14" s="73"/>
      <c r="H14" s="1247"/>
      <c r="I14" s="1247"/>
      <c r="J14" s="1247"/>
      <c r="K14" s="1248">
        <f>SUMIF('数据-汇总表'!C$19:C$33,A14,'数据-汇总表'!E$19:E$33)</f>
        <v>3051.23</v>
      </c>
      <c r="L14" s="2966">
        <f>L8</f>
        <v>3000</v>
      </c>
      <c r="M14" s="75">
        <f t="shared" si="0"/>
        <v>915</v>
      </c>
      <c r="N14" s="2967">
        <f>N8</f>
        <v>0.83</v>
      </c>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6"/>
      <c r="AH14" s="1259"/>
      <c r="AI14" s="1812"/>
      <c r="AJ14" s="772"/>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1978</v>
      </c>
      <c r="B15" s="2302" t="s">
        <v>1977</v>
      </c>
      <c r="C15" s="2307" t="s">
        <v>1979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2"/>
      <c r="AJ15" s="772"/>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1980</v>
      </c>
      <c r="B16" s="97"/>
      <c r="C16" s="1002"/>
      <c r="D16" s="2309"/>
      <c r="E16" s="97"/>
      <c r="F16" s="97"/>
      <c r="G16" s="98">
        <f>ROUND(SUMPRODUCT(G6:G13,K6:K13)/SUMPRODUCT((G6:G13&gt;0)*(K6:K13)),3)</f>
        <v>0.88100000000000001</v>
      </c>
      <c r="H16" s="99">
        <f>ROUND(SUMPRODUCT(H6:H13,K6:K13)/SUMPRODUCT((H6:H13&gt;0)*(K6:K13)),3)</f>
        <v>4.3999999999999997E-2</v>
      </c>
      <c r="I16" s="100"/>
      <c r="J16" s="100"/>
      <c r="K16" s="101">
        <f>SUM(K6:K15)</f>
        <v>120487.71999999999</v>
      </c>
      <c r="L16" s="102">
        <f>ROUND(M16*10000/SUM(K6:K14),0)</f>
        <v>4248</v>
      </c>
      <c r="M16" s="102">
        <f>SUM(M6:M14)</f>
        <v>51183</v>
      </c>
      <c r="N16" s="103">
        <f>ROUND(SUMPRODUCT(M6:M14,N6:N14)/M16,3)</f>
        <v>0.83</v>
      </c>
      <c r="O16" s="102">
        <f>SUM(O6:O14)</f>
        <v>0</v>
      </c>
      <c r="P16" s="102">
        <f>SUM(P6:P14)</f>
        <v>0</v>
      </c>
      <c r="Q16" s="104">
        <f>ROUND(SUMPRODUCT(Q6:Q13,K6:K13)/SUMPRODUCT((Q6:Q13&gt;0)*(K6:K13)),2)</f>
        <v>0.23</v>
      </c>
      <c r="R16" s="1252">
        <f ca="1">SUM(R6:R13)</f>
        <v>22271.53</v>
      </c>
      <c r="S16" s="105">
        <f>SUM(S6:S13)</f>
        <v>3051.23</v>
      </c>
      <c r="T16" s="106">
        <f>IF(SUMIF(T6:T13,"&lt;9E307")=M14,SUMIF(T6:T13,"&lt;9E307"),"有误，请检查")</f>
        <v>915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8"/>
      <c r="D17" s="2268"/>
      <c r="E17" s="2268"/>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1981</v>
      </c>
      <c r="B18" s="2275"/>
      <c r="C18" s="2272"/>
      <c r="D18" s="2273"/>
      <c r="E18" s="2272"/>
      <c r="F18" s="2272"/>
      <c r="G18" s="2272"/>
      <c r="H18" s="2272"/>
      <c r="I18" s="2272"/>
      <c r="J18" s="2272"/>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1982</v>
      </c>
      <c r="B19" s="112">
        <v>0</v>
      </c>
      <c r="C19" s="2272" t="s">
        <v>1983</v>
      </c>
      <c r="D19" s="2273"/>
      <c r="E19" s="2272"/>
      <c r="F19" s="2272"/>
      <c r="G19" s="2272"/>
      <c r="H19" s="2272"/>
      <c r="I19" s="2272"/>
      <c r="J19" s="2272"/>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1984</v>
      </c>
      <c r="B20" s="113">
        <v>2</v>
      </c>
      <c r="C20" s="2272" t="s">
        <v>1985</v>
      </c>
      <c r="D20" s="2273"/>
      <c r="E20" s="2272"/>
      <c r="F20" s="2272"/>
      <c r="G20" s="2272"/>
      <c r="H20" s="2272"/>
      <c r="I20" s="2272"/>
      <c r="J20" s="2272"/>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1986</v>
      </c>
      <c r="B21" s="113">
        <v>2</v>
      </c>
      <c r="C21" s="2272"/>
      <c r="D21" s="2273"/>
      <c r="E21" s="2272"/>
      <c r="F21" s="2272"/>
      <c r="G21" s="2272"/>
      <c r="H21" s="2272"/>
      <c r="I21" s="2272"/>
      <c r="J21" s="2272"/>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1987</v>
      </c>
      <c r="B22" s="114">
        <f>B19+B20</f>
        <v>2</v>
      </c>
      <c r="C22" s="2272"/>
      <c r="D22" s="2273"/>
      <c r="E22" s="2272"/>
      <c r="F22" s="2272"/>
      <c r="G22" s="2272"/>
      <c r="H22" s="2272"/>
      <c r="I22" s="2272"/>
      <c r="J22" s="2272"/>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1988</v>
      </c>
      <c r="B23" s="114">
        <f>B19+B21</f>
        <v>2</v>
      </c>
      <c r="C23" s="2272"/>
      <c r="D23" s="2273"/>
      <c r="E23" s="2272"/>
      <c r="F23" s="2272"/>
      <c r="G23" s="2272"/>
      <c r="H23" s="2272"/>
      <c r="I23" s="2272"/>
      <c r="J23" s="2272"/>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1989</v>
      </c>
      <c r="B24" s="115">
        <f>B20-B21</f>
        <v>0</v>
      </c>
      <c r="C24" s="2272"/>
      <c r="D24" s="2273"/>
      <c r="E24" s="2272"/>
      <c r="F24" s="2272"/>
      <c r="G24" s="2272"/>
      <c r="H24" s="2272"/>
      <c r="I24" s="2272"/>
      <c r="J24" s="2272"/>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1990</v>
      </c>
      <c r="B26" s="2315" t="s">
        <v>1991</v>
      </c>
      <c r="C26" s="2316" t="s">
        <v>1992</v>
      </c>
      <c r="D26" s="2273"/>
      <c r="E26" s="2272"/>
      <c r="F26" s="2272"/>
      <c r="G26" s="2272"/>
      <c r="H26" s="2272"/>
      <c r="I26" s="2272"/>
      <c r="J26" s="2272"/>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1993</v>
      </c>
      <c r="B27" s="116">
        <v>160</v>
      </c>
      <c r="C27" s="1761" t="s">
        <v>1994</v>
      </c>
      <c r="D27" s="2318"/>
      <c r="E27" s="1424"/>
      <c r="F27" s="1424"/>
      <c r="G27" s="2272"/>
      <c r="H27" s="2272"/>
      <c r="I27" s="2272"/>
      <c r="J27" s="2272"/>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1995</v>
      </c>
      <c r="B28" s="119">
        <v>200</v>
      </c>
      <c r="C28" s="2321"/>
      <c r="D28" s="2318"/>
      <c r="E28" s="1424"/>
      <c r="F28" s="1424"/>
      <c r="G28" s="2272"/>
      <c r="H28" s="2272"/>
      <c r="I28" s="2272"/>
      <c r="J28" s="2272"/>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1996</v>
      </c>
      <c r="B29" s="2972">
        <f>ROUND(B28*K16/10000,0)</f>
        <v>2410</v>
      </c>
      <c r="C29" s="1761" t="s">
        <v>1997</v>
      </c>
      <c r="D29" s="2318"/>
      <c r="E29" s="1424"/>
      <c r="F29" s="1424"/>
      <c r="G29" s="2272"/>
      <c r="H29" s="2272"/>
      <c r="I29" s="2272"/>
      <c r="J29" s="2272"/>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1998</v>
      </c>
      <c r="B30" s="723">
        <v>200</v>
      </c>
      <c r="C30" s="2321"/>
      <c r="D30" s="2318"/>
      <c r="E30" s="1424"/>
      <c r="F30" s="1424"/>
      <c r="G30" s="2272"/>
      <c r="H30" s="2272"/>
      <c r="I30" s="2272"/>
      <c r="J30" s="2272"/>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1999</v>
      </c>
      <c r="B31" s="120">
        <f>B30-B32</f>
        <v>200</v>
      </c>
      <c r="C31" s="1761"/>
      <c r="D31" s="2318"/>
      <c r="E31" s="1424"/>
      <c r="F31" s="1424"/>
      <c r="G31" s="2272"/>
      <c r="H31" s="2272"/>
      <c r="I31" s="2272"/>
      <c r="J31" s="2272"/>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2000</v>
      </c>
      <c r="B32" s="724">
        <v>0</v>
      </c>
      <c r="C32" s="2321"/>
      <c r="D32" s="2273"/>
      <c r="E32" s="2272"/>
      <c r="F32" s="2272"/>
      <c r="G32" s="2272"/>
      <c r="H32" s="2272"/>
      <c r="I32" s="2272"/>
      <c r="J32" s="2272"/>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2001</v>
      </c>
      <c r="B33" s="725">
        <v>0.03</v>
      </c>
      <c r="C33" s="1760" t="s">
        <v>2002</v>
      </c>
      <c r="D33" s="2273"/>
      <c r="E33" s="2272"/>
      <c r="F33" s="2272"/>
      <c r="G33" s="2272"/>
      <c r="H33" s="2272"/>
      <c r="I33" s="2272"/>
      <c r="J33" s="2272"/>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2003</v>
      </c>
      <c r="B34" s="2973">
        <v>0</v>
      </c>
      <c r="C34" s="1760" t="s">
        <v>2004</v>
      </c>
      <c r="D34" s="2273" t="s">
        <v>2005</v>
      </c>
      <c r="E34" s="731"/>
      <c r="F34" s="2272"/>
      <c r="G34" s="2272"/>
      <c r="H34" s="2272"/>
      <c r="I34" s="2272"/>
      <c r="J34" s="2272"/>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2006</v>
      </c>
      <c r="B35" s="119">
        <v>200</v>
      </c>
      <c r="C35" s="1760" t="s">
        <v>2007</v>
      </c>
      <c r="D35" s="2318"/>
      <c r="E35" s="1424"/>
      <c r="F35" s="1424"/>
      <c r="G35" s="2272"/>
      <c r="H35" s="2272"/>
      <c r="I35" s="2272"/>
      <c r="J35" s="2272"/>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2008</v>
      </c>
      <c r="B36" s="122">
        <v>1.4999999999999999E-2</v>
      </c>
      <c r="C36" s="1760" t="s">
        <v>2009</v>
      </c>
      <c r="D36" s="2273"/>
      <c r="E36" s="2272"/>
      <c r="F36" s="2272"/>
      <c r="G36" s="2272"/>
      <c r="H36" s="2272"/>
      <c r="I36" s="2272"/>
      <c r="J36" s="2272"/>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2010</v>
      </c>
      <c r="B37" s="123">
        <v>0.03</v>
      </c>
      <c r="C37" s="1760" t="s">
        <v>2011</v>
      </c>
      <c r="D37" s="2273"/>
      <c r="E37" s="2272"/>
      <c r="F37" s="2272"/>
      <c r="G37" s="2272"/>
      <c r="H37" s="2272"/>
      <c r="I37" s="2272"/>
      <c r="J37" s="2272"/>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2012</v>
      </c>
      <c r="B38" s="121">
        <v>0.03</v>
      </c>
      <c r="C38" s="1760" t="s">
        <v>2011</v>
      </c>
      <c r="D38" s="2273"/>
      <c r="E38" s="2272"/>
      <c r="F38" s="2272"/>
      <c r="G38" s="2272"/>
      <c r="H38" s="2272"/>
      <c r="I38" s="2272"/>
      <c r="J38" s="2272"/>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2013</v>
      </c>
      <c r="B39" s="361">
        <f ca="1">存贷款利率!I1</f>
        <v>1.4999999999999999E-2</v>
      </c>
      <c r="C39" s="1760"/>
      <c r="D39" s="2273"/>
      <c r="E39" s="2272"/>
      <c r="F39" s="2272"/>
      <c r="G39" s="2272"/>
      <c r="H39" s="2272"/>
      <c r="I39" s="2272"/>
      <c r="J39" s="2272"/>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2014</v>
      </c>
      <c r="B40" s="1297">
        <f ca="1">存贷款利率!G1</f>
        <v>4.7500000000000001E-2</v>
      </c>
      <c r="C40" s="1760" t="s">
        <v>2015</v>
      </c>
      <c r="D40" s="1578"/>
      <c r="E40" s="2273"/>
      <c r="F40" s="2272"/>
      <c r="G40" s="2272"/>
      <c r="H40" s="2272"/>
      <c r="I40" s="2272"/>
      <c r="J40" s="2272"/>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2016</v>
      </c>
      <c r="B41" s="124">
        <f>B42+B43</f>
        <v>5.6000000000000001E-2</v>
      </c>
      <c r="C41" s="1761"/>
      <c r="D41" s="1578"/>
      <c r="E41" s="2273"/>
      <c r="F41" s="2272"/>
      <c r="G41" s="2272"/>
      <c r="H41" s="2272"/>
      <c r="I41" s="2272"/>
      <c r="J41" s="2272"/>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2017</v>
      </c>
      <c r="B42" s="125">
        <v>0.05</v>
      </c>
      <c r="C42" s="2326">
        <f>IF(B2&lt;DATE(2016,5,1),0,B42)</f>
        <v>0.05</v>
      </c>
      <c r="D42" s="2273"/>
      <c r="E42" s="2272"/>
      <c r="F42" s="2272"/>
      <c r="G42" s="2272"/>
      <c r="H42" s="2272"/>
      <c r="I42" s="2272"/>
      <c r="J42" s="2272"/>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2018</v>
      </c>
      <c r="B43" s="126">
        <f>B42*(B44+B45+B46)+B47</f>
        <v>6.000000000000001E-3</v>
      </c>
      <c r="C43" s="1761"/>
      <c r="D43" s="2273"/>
      <c r="E43" s="2272"/>
      <c r="F43" s="2272"/>
      <c r="G43" s="2272"/>
      <c r="H43" s="2272"/>
      <c r="I43" s="2272"/>
      <c r="J43" s="2272"/>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2019</v>
      </c>
      <c r="B44" s="127">
        <v>7.0000000000000007E-2</v>
      </c>
      <c r="C44" s="1760" t="s">
        <v>2020</v>
      </c>
      <c r="D44" s="2273"/>
      <c r="E44" s="2272"/>
      <c r="F44" s="2272"/>
      <c r="G44" s="2272"/>
      <c r="H44" s="2272"/>
      <c r="I44" s="2272"/>
      <c r="J44" s="2272"/>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2021</v>
      </c>
      <c r="B45" s="125">
        <v>0.03</v>
      </c>
      <c r="C45" s="1761" t="s">
        <v>2022</v>
      </c>
      <c r="D45" s="2273"/>
      <c r="E45" s="2272"/>
      <c r="F45" s="2272"/>
      <c r="G45" s="2272"/>
      <c r="H45" s="2272"/>
      <c r="I45" s="2272"/>
      <c r="J45" s="2272"/>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2023</v>
      </c>
      <c r="B46" s="125">
        <v>0.02</v>
      </c>
      <c r="C46" s="1761" t="s">
        <v>2024</v>
      </c>
      <c r="D46" s="2273"/>
      <c r="E46" s="2272"/>
      <c r="F46" s="2272"/>
      <c r="G46" s="2272"/>
      <c r="H46" s="2272"/>
      <c r="I46" s="2272"/>
      <c r="J46" s="2272"/>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2025</v>
      </c>
      <c r="B47" s="128"/>
      <c r="C47" s="1761" t="s">
        <v>2026</v>
      </c>
      <c r="D47" s="2273"/>
      <c r="E47" s="2272"/>
      <c r="F47" s="2272"/>
      <c r="G47" s="2272"/>
      <c r="H47" s="2272"/>
      <c r="I47" s="2272"/>
      <c r="J47" s="2272"/>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2027</v>
      </c>
      <c r="B48" s="129">
        <v>0.03</v>
      </c>
      <c r="C48" s="1768" t="s">
        <v>2028</v>
      </c>
      <c r="D48" s="2273"/>
      <c r="E48" s="2272"/>
      <c r="F48" s="2272"/>
      <c r="G48" s="2272"/>
      <c r="H48" s="2272"/>
      <c r="I48" s="2272"/>
      <c r="J48" s="2272"/>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2029</v>
      </c>
      <c r="B49" s="125">
        <v>5.0000000000000001E-4</v>
      </c>
      <c r="C49" s="1768" t="s">
        <v>2030</v>
      </c>
      <c r="D49" s="2273"/>
      <c r="E49" s="2272"/>
      <c r="F49" s="2272"/>
      <c r="G49" s="2272"/>
      <c r="H49" s="2272"/>
      <c r="I49" s="2272"/>
      <c r="J49" s="2272"/>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2031</v>
      </c>
      <c r="B50" s="130">
        <v>1.2E-2</v>
      </c>
      <c r="C50" s="1424"/>
      <c r="D50" s="2273"/>
      <c r="E50" s="2272"/>
      <c r="F50" s="2272"/>
      <c r="G50" s="2272"/>
      <c r="H50" s="2272"/>
      <c r="I50" s="2272"/>
      <c r="J50" s="2272"/>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2032</v>
      </c>
      <c r="B51" s="131">
        <v>0.12</v>
      </c>
      <c r="C51" s="1424"/>
      <c r="D51" s="2273"/>
      <c r="E51" s="2272"/>
      <c r="F51" s="2272"/>
      <c r="G51" s="2272"/>
      <c r="H51" s="2272"/>
      <c r="I51" s="2272"/>
      <c r="J51" s="2272"/>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2033</v>
      </c>
      <c r="B52" s="132">
        <f>SUMIF(A54:A63,B53,B54:B63)</f>
        <v>12</v>
      </c>
      <c r="C52" s="1424"/>
      <c r="D52" s="2273"/>
      <c r="E52" s="2272"/>
      <c r="F52" s="2272"/>
      <c r="G52" s="2272"/>
      <c r="H52" s="2272"/>
      <c r="I52" s="2272"/>
      <c r="J52" s="2272"/>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2034</v>
      </c>
      <c r="B53" s="2974" t="s">
        <v>137</v>
      </c>
      <c r="C53" s="1424" t="s">
        <v>2035</v>
      </c>
      <c r="D53" s="2331" t="s">
        <v>2036</v>
      </c>
      <c r="E53" s="2272"/>
      <c r="F53" s="2272"/>
      <c r="G53" s="2272"/>
      <c r="H53" s="2272"/>
      <c r="I53" s="2272"/>
      <c r="J53" s="2272"/>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2037</v>
      </c>
      <c r="B54" s="84"/>
      <c r="C54" s="1424">
        <v>30</v>
      </c>
      <c r="D54" s="2273"/>
      <c r="E54" s="2272"/>
      <c r="F54" s="2272"/>
      <c r="G54" s="2272"/>
      <c r="H54" s="2272"/>
      <c r="I54" s="2272"/>
      <c r="J54" s="2272"/>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2038</v>
      </c>
      <c r="B55" s="84"/>
      <c r="C55" s="1424">
        <v>24</v>
      </c>
      <c r="D55" s="2273"/>
      <c r="E55" s="2272"/>
      <c r="F55" s="2272"/>
      <c r="G55" s="2272"/>
      <c r="H55" s="2272"/>
      <c r="I55" s="2333"/>
      <c r="J55" s="2272"/>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2039</v>
      </c>
      <c r="B56" s="84"/>
      <c r="C56" s="1424">
        <v>18</v>
      </c>
      <c r="D56" s="2273"/>
      <c r="E56" s="2272"/>
      <c r="F56" s="2272"/>
      <c r="G56" s="2272"/>
      <c r="H56" s="2272"/>
      <c r="I56" s="2272"/>
      <c r="J56" s="2272"/>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2040</v>
      </c>
      <c r="B57" s="84">
        <v>12</v>
      </c>
      <c r="C57" s="1424">
        <v>12</v>
      </c>
      <c r="D57" s="2273"/>
      <c r="E57" s="2272"/>
      <c r="F57" s="2272"/>
      <c r="G57" s="2272"/>
      <c r="H57" s="2272"/>
      <c r="I57" s="2272"/>
      <c r="J57" s="2272"/>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2041</v>
      </c>
      <c r="B58" s="84"/>
      <c r="C58" s="1424">
        <v>3</v>
      </c>
      <c r="D58" s="2273"/>
      <c r="E58" s="2272"/>
      <c r="F58" s="2272"/>
      <c r="G58" s="2272"/>
      <c r="H58" s="2272"/>
      <c r="I58" s="2272"/>
      <c r="J58" s="2272"/>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2042</v>
      </c>
      <c r="B59" s="84"/>
      <c r="C59" s="1424">
        <v>1.5</v>
      </c>
      <c r="D59" s="2273"/>
      <c r="E59" s="2272"/>
      <c r="F59" s="2272"/>
      <c r="G59" s="2272"/>
      <c r="H59" s="2272"/>
      <c r="I59" s="2272"/>
      <c r="J59" s="2272"/>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2043</v>
      </c>
      <c r="B60" s="84"/>
      <c r="C60" s="2272"/>
      <c r="D60" s="2273"/>
      <c r="E60" s="2272"/>
      <c r="F60" s="2272"/>
      <c r="G60" s="2272"/>
      <c r="H60" s="2272"/>
      <c r="I60" s="2272"/>
      <c r="J60" s="2272"/>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2044</v>
      </c>
      <c r="B61" s="84"/>
      <c r="C61" s="2272"/>
      <c r="D61" s="2273"/>
      <c r="E61" s="2272"/>
      <c r="F61" s="2272"/>
      <c r="G61" s="2272"/>
      <c r="H61" s="2272"/>
      <c r="I61" s="2272"/>
      <c r="J61" s="2272"/>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2045</v>
      </c>
      <c r="B62" s="84"/>
      <c r="C62" s="2272"/>
      <c r="D62" s="2273"/>
      <c r="E62" s="2272"/>
      <c r="F62" s="2272"/>
      <c r="G62" s="2272"/>
      <c r="H62" s="2272"/>
      <c r="I62" s="2272"/>
      <c r="J62" s="2272"/>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2046</v>
      </c>
      <c r="B63" s="133"/>
      <c r="C63" s="2272"/>
      <c r="D63" s="2273"/>
      <c r="E63" s="2272"/>
      <c r="F63" s="2272"/>
      <c r="G63" s="2272"/>
      <c r="H63" s="2272"/>
      <c r="I63" s="2272"/>
      <c r="J63" s="2272"/>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7"/>
      <c r="L64" s="797"/>
    </row>
    <row r="65" spans="1:12" s="961" customFormat="1">
      <c r="A65" s="2335"/>
      <c r="D65" s="2336"/>
      <c r="K65" s="797"/>
      <c r="L65" s="797"/>
    </row>
    <row r="66" spans="1:12" s="961" customFormat="1">
      <c r="A66" s="2335"/>
      <c r="D66" s="2336"/>
      <c r="K66" s="797"/>
      <c r="L66" s="797"/>
    </row>
    <row r="67" spans="1:12" s="961" customFormat="1">
      <c r="A67" s="2335"/>
      <c r="D67" s="2336"/>
      <c r="K67" s="797"/>
      <c r="L67" s="797"/>
    </row>
    <row r="68" spans="1:12" s="961" customFormat="1">
      <c r="A68" s="2335"/>
      <c r="D68" s="2336"/>
      <c r="K68" s="797"/>
      <c r="L68" s="797"/>
    </row>
    <row r="69" spans="1:12" s="961" customFormat="1">
      <c r="A69" s="2335"/>
      <c r="D69" s="2336"/>
      <c r="K69" s="797"/>
      <c r="L69" s="797"/>
    </row>
    <row r="70" spans="1:12" s="961" customFormat="1">
      <c r="A70" s="2335"/>
      <c r="D70" s="2336"/>
      <c r="K70" s="797"/>
      <c r="L70" s="797"/>
    </row>
    <row r="71" spans="1:12" s="961" customFormat="1">
      <c r="A71" s="2335"/>
      <c r="D71" s="2336"/>
      <c r="K71" s="797"/>
      <c r="L71" s="797"/>
    </row>
    <row r="72" spans="1:12" s="961" customFormat="1">
      <c r="A72" s="2335"/>
      <c r="D72" s="2336"/>
      <c r="K72" s="797"/>
      <c r="L72" s="797"/>
    </row>
    <row r="73" spans="1:12" s="961" customFormat="1">
      <c r="A73" s="2335"/>
      <c r="D73" s="2336"/>
      <c r="K73" s="797"/>
      <c r="L73" s="797"/>
    </row>
    <row r="74" spans="1:12" s="961" customFormat="1">
      <c r="A74" s="2335"/>
      <c r="D74" s="2336"/>
      <c r="K74" s="797"/>
      <c r="L74" s="797"/>
    </row>
    <row r="75" spans="1:12" s="961" customFormat="1">
      <c r="A75" s="2335"/>
      <c r="D75" s="2336"/>
      <c r="K75" s="797"/>
      <c r="L75" s="797"/>
    </row>
    <row r="76" spans="1:12" s="961" customFormat="1">
      <c r="A76" s="2335"/>
      <c r="D76" s="2336"/>
      <c r="K76" s="797"/>
      <c r="L76" s="797"/>
    </row>
    <row r="77" spans="1:12" s="961" customFormat="1">
      <c r="A77" s="2335"/>
      <c r="D77" s="2336"/>
      <c r="K77" s="797"/>
      <c r="L77" s="797"/>
    </row>
    <row r="78" spans="1:12" s="961" customFormat="1">
      <c r="A78" s="2335"/>
      <c r="D78" s="2336"/>
      <c r="K78" s="797"/>
      <c r="L78" s="797"/>
    </row>
    <row r="79" spans="1:12" s="961" customFormat="1">
      <c r="A79" s="2335"/>
      <c r="D79" s="2336"/>
      <c r="K79" s="797"/>
      <c r="L79" s="797"/>
    </row>
    <row r="80" spans="1:12" s="961" customFormat="1">
      <c r="A80" s="2335"/>
      <c r="D80" s="2336"/>
      <c r="K80" s="797"/>
      <c r="L80" s="797"/>
    </row>
    <row r="81" spans="1:12" s="961" customFormat="1">
      <c r="A81" s="2335"/>
      <c r="D81" s="2336"/>
      <c r="K81" s="797"/>
      <c r="L81" s="797"/>
    </row>
    <row r="82" spans="1:12" s="961" customFormat="1">
      <c r="A82" s="2335"/>
      <c r="D82" s="2336"/>
      <c r="K82" s="797"/>
      <c r="L82" s="797"/>
    </row>
    <row r="83" spans="1:12" s="961" customFormat="1">
      <c r="A83" s="2335"/>
      <c r="D83" s="2336"/>
      <c r="K83" s="797"/>
      <c r="L83" s="797"/>
    </row>
    <row r="84" spans="1:12" s="961" customFormat="1">
      <c r="A84" s="2335"/>
      <c r="D84" s="2336"/>
      <c r="K84" s="797"/>
      <c r="L84" s="797"/>
    </row>
    <row r="85" spans="1:12" s="961" customFormat="1">
      <c r="A85" s="2335"/>
      <c r="D85" s="2336"/>
      <c r="K85" s="797"/>
      <c r="L85" s="797"/>
    </row>
    <row r="86" spans="1:12" s="961" customFormat="1">
      <c r="A86" s="2335"/>
      <c r="D86" s="2336"/>
      <c r="K86" s="797"/>
      <c r="L86" s="797"/>
    </row>
    <row r="87" spans="1:12" s="961" customFormat="1">
      <c r="A87" s="2335"/>
      <c r="D87" s="2336"/>
      <c r="K87" s="797"/>
      <c r="L87" s="797"/>
    </row>
    <row r="88" spans="1:12" s="961" customFormat="1">
      <c r="A88" s="2335"/>
      <c r="D88" s="2336"/>
      <c r="K88" s="797"/>
      <c r="L88" s="797"/>
    </row>
    <row r="89" spans="1:12" s="961" customFormat="1">
      <c r="A89" s="2335"/>
      <c r="D89" s="2336"/>
      <c r="K89" s="797"/>
      <c r="L89" s="797"/>
    </row>
    <row r="90" spans="1:12" s="961" customFormat="1">
      <c r="A90" s="2335"/>
      <c r="D90" s="2336"/>
      <c r="K90" s="797"/>
      <c r="L90" s="797"/>
    </row>
    <row r="91" spans="1:12" s="961" customFormat="1">
      <c r="A91" s="2335"/>
      <c r="D91" s="2336"/>
      <c r="K91" s="797"/>
      <c r="L91" s="797"/>
    </row>
    <row r="92" spans="1:12" s="961" customFormat="1">
      <c r="A92" s="2335"/>
      <c r="D92" s="2336"/>
      <c r="K92" s="797"/>
      <c r="L92" s="797"/>
    </row>
    <row r="93" spans="1:12" s="961" customFormat="1">
      <c r="A93" s="2335"/>
      <c r="D93" s="2336"/>
      <c r="K93" s="797"/>
      <c r="L93" s="797"/>
    </row>
    <row r="94" spans="1:12" s="961" customFormat="1">
      <c r="A94" s="2335"/>
      <c r="D94" s="2336"/>
      <c r="K94" s="797"/>
      <c r="L94" s="797"/>
    </row>
    <row r="95" spans="1:12" s="961" customFormat="1">
      <c r="A95" s="2335"/>
      <c r="D95" s="2336"/>
      <c r="K95" s="797"/>
      <c r="L95" s="797"/>
    </row>
    <row r="96" spans="1:12" s="961" customFormat="1">
      <c r="A96" s="2335"/>
      <c r="D96" s="2336"/>
      <c r="K96" s="797"/>
      <c r="L96" s="797"/>
    </row>
    <row r="97" spans="1:12" s="961" customFormat="1">
      <c r="A97" s="2335"/>
      <c r="D97" s="2336"/>
      <c r="K97" s="797"/>
      <c r="L97" s="797"/>
    </row>
    <row r="98" spans="1:12" s="961" customFormat="1">
      <c r="A98" s="2335"/>
      <c r="D98" s="2336"/>
      <c r="K98" s="797"/>
      <c r="L98" s="797"/>
    </row>
    <row r="99" spans="1:12" s="961" customFormat="1">
      <c r="A99" s="2335"/>
      <c r="D99" s="2336"/>
      <c r="K99" s="797"/>
      <c r="L99" s="797"/>
    </row>
    <row r="100" spans="1:12" s="961" customFormat="1">
      <c r="A100" s="2335"/>
      <c r="D100" s="2336"/>
      <c r="K100" s="797"/>
      <c r="L100" s="797"/>
    </row>
    <row r="101" spans="1:12" s="961" customFormat="1">
      <c r="A101" s="2335"/>
      <c r="D101" s="2336"/>
      <c r="K101" s="797"/>
      <c r="L101" s="797"/>
    </row>
    <row r="102" spans="1:12" s="961" customFormat="1">
      <c r="A102" s="2335"/>
      <c r="D102" s="2336"/>
      <c r="K102" s="797"/>
      <c r="L102" s="797"/>
    </row>
    <row r="103" spans="1:12" s="961" customFormat="1">
      <c r="A103" s="2335"/>
      <c r="D103" s="2336"/>
      <c r="K103" s="797"/>
      <c r="L103" s="797"/>
    </row>
    <row r="104" spans="1:12" s="961" customFormat="1">
      <c r="A104" s="2335"/>
      <c r="D104" s="2336"/>
      <c r="K104" s="797"/>
      <c r="L104" s="797"/>
    </row>
    <row r="105" spans="1:12" s="961" customFormat="1">
      <c r="A105" s="2335"/>
      <c r="D105" s="2336"/>
      <c r="K105" s="797"/>
      <c r="L105" s="797"/>
    </row>
    <row r="106" spans="1:12" s="961" customFormat="1">
      <c r="A106" s="2335"/>
      <c r="D106" s="2336"/>
      <c r="K106" s="797"/>
      <c r="L106" s="797"/>
    </row>
    <row r="107" spans="1:12" s="961" customFormat="1">
      <c r="A107" s="2335"/>
      <c r="D107" s="2336"/>
      <c r="K107" s="797"/>
      <c r="L107" s="797"/>
    </row>
    <row r="108" spans="1:12" s="961" customFormat="1">
      <c r="A108" s="2335"/>
      <c r="D108" s="2336"/>
      <c r="K108" s="797"/>
      <c r="L108" s="797"/>
    </row>
    <row r="109" spans="1:12" s="961" customFormat="1">
      <c r="A109" s="2335"/>
      <c r="D109" s="2336"/>
      <c r="K109" s="797"/>
      <c r="L109" s="797"/>
    </row>
    <row r="110" spans="1:12" s="961" customFormat="1">
      <c r="A110" s="2335"/>
      <c r="D110" s="2336"/>
      <c r="K110" s="797"/>
      <c r="L110" s="797"/>
    </row>
    <row r="111" spans="1:12" s="961" customFormat="1">
      <c r="A111" s="2335"/>
      <c r="D111" s="2336"/>
      <c r="K111" s="797"/>
      <c r="L111" s="797"/>
    </row>
    <row r="112" spans="1:12" s="961" customFormat="1">
      <c r="A112" s="2335"/>
      <c r="D112" s="2336"/>
      <c r="K112" s="797"/>
      <c r="L112" s="797"/>
    </row>
    <row r="113" spans="1:12" s="961" customFormat="1">
      <c r="A113" s="2335"/>
      <c r="D113" s="2336"/>
      <c r="K113" s="797"/>
      <c r="L113" s="797"/>
    </row>
    <row r="114" spans="1:12" s="961" customFormat="1">
      <c r="A114" s="2335"/>
      <c r="D114" s="2336"/>
      <c r="K114" s="797"/>
      <c r="L114" s="797"/>
    </row>
    <row r="115" spans="1:12" s="961" customFormat="1">
      <c r="A115" s="2335"/>
      <c r="D115" s="2336"/>
      <c r="K115" s="797"/>
      <c r="L115" s="797"/>
    </row>
    <row r="116" spans="1:12" s="961" customFormat="1">
      <c r="A116" s="2335"/>
      <c r="D116" s="2336"/>
      <c r="K116" s="797"/>
      <c r="L116" s="797"/>
    </row>
    <row r="117" spans="1:12" s="961" customFormat="1">
      <c r="A117" s="2335"/>
      <c r="D117" s="2336"/>
      <c r="K117" s="797"/>
      <c r="L117" s="797"/>
    </row>
    <row r="118" spans="1:12" s="961" customFormat="1">
      <c r="A118" s="2335"/>
      <c r="D118" s="2336"/>
      <c r="K118" s="797"/>
      <c r="L118" s="797"/>
    </row>
    <row r="119" spans="1:12" s="961" customFormat="1">
      <c r="A119" s="2335"/>
      <c r="D119" s="2336"/>
      <c r="K119" s="797"/>
      <c r="L119" s="797"/>
    </row>
    <row r="120" spans="1:12" s="961" customFormat="1">
      <c r="A120" s="2335"/>
      <c r="D120" s="2336"/>
      <c r="K120" s="797"/>
      <c r="L120" s="797"/>
    </row>
    <row r="121" spans="1:12" s="961" customFormat="1">
      <c r="A121" s="2335"/>
      <c r="D121" s="2336"/>
      <c r="K121" s="797"/>
      <c r="L121" s="797"/>
    </row>
    <row r="122" spans="1:12" s="961" customFormat="1">
      <c r="A122" s="2335"/>
      <c r="D122" s="2336"/>
      <c r="K122" s="797"/>
      <c r="L122" s="797"/>
    </row>
    <row r="123" spans="1:12" s="961" customFormat="1">
      <c r="A123" s="2335"/>
      <c r="D123" s="2336"/>
      <c r="K123" s="797"/>
      <c r="L123" s="797"/>
    </row>
    <row r="124" spans="1:12" s="961" customFormat="1">
      <c r="A124" s="2335"/>
      <c r="D124" s="2336"/>
      <c r="K124" s="797"/>
      <c r="L124" s="797"/>
    </row>
    <row r="125" spans="1:12" s="961" customFormat="1">
      <c r="A125" s="2335"/>
      <c r="D125" s="2336"/>
      <c r="K125" s="797"/>
      <c r="L125" s="797"/>
    </row>
    <row r="126" spans="1:12" s="961" customFormat="1">
      <c r="A126" s="2335"/>
      <c r="D126" s="2336"/>
      <c r="K126" s="797"/>
      <c r="L126" s="797"/>
    </row>
    <row r="127" spans="1:12" s="961" customFormat="1">
      <c r="A127" s="2335"/>
      <c r="D127" s="2336"/>
      <c r="K127" s="797"/>
      <c r="L127" s="797"/>
    </row>
    <row r="128" spans="1:12" s="961" customFormat="1">
      <c r="A128" s="2335"/>
      <c r="D128" s="2336"/>
      <c r="K128" s="797"/>
      <c r="L128" s="797"/>
    </row>
    <row r="129" spans="1:12" s="961" customFormat="1">
      <c r="A129" s="2335"/>
      <c r="D129" s="2336"/>
      <c r="K129" s="797"/>
      <c r="L129" s="797"/>
    </row>
    <row r="130" spans="1:12" s="961" customFormat="1">
      <c r="A130" s="2335"/>
      <c r="D130" s="2336"/>
      <c r="K130" s="797"/>
      <c r="L130" s="797"/>
    </row>
    <row r="131" spans="1:12" s="961" customFormat="1">
      <c r="A131" s="2335"/>
      <c r="D131" s="2336"/>
      <c r="K131" s="797"/>
      <c r="L131" s="797"/>
    </row>
    <row r="132" spans="1:12" s="961" customFormat="1">
      <c r="A132" s="2335"/>
      <c r="D132" s="2336"/>
      <c r="K132" s="797"/>
      <c r="L132" s="797"/>
    </row>
    <row r="133" spans="1:12" s="961" customFormat="1">
      <c r="A133" s="2335"/>
      <c r="D133" s="2336"/>
      <c r="K133" s="797"/>
      <c r="L133" s="797"/>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2"/>
    <col min="30" max="16384" width="9" style="2363"/>
  </cols>
  <sheetData>
    <row r="1" spans="1:29" s="2356" customFormat="1" ht="19.5" thickBot="1">
      <c r="A1" s="3080" t="s">
        <v>2047</v>
      </c>
      <c r="B1" s="3081"/>
      <c r="C1" s="3081"/>
      <c r="D1" s="3081"/>
      <c r="E1" s="3081"/>
      <c r="F1" s="3081"/>
      <c r="G1" s="308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2048</v>
      </c>
      <c r="D2" s="2360"/>
      <c r="E2" s="2361"/>
      <c r="F2" s="2281"/>
      <c r="G2" s="2359" t="s">
        <v>2049</v>
      </c>
      <c r="H2" s="2362"/>
      <c r="I2" s="2362"/>
      <c r="J2" s="2362"/>
      <c r="K2" s="2362"/>
      <c r="L2" s="2362"/>
      <c r="M2" s="2362"/>
      <c r="N2" s="2362"/>
      <c r="O2" s="2362"/>
      <c r="P2" s="2362"/>
      <c r="Q2" s="2362"/>
      <c r="R2" s="2362"/>
    </row>
    <row r="3" spans="1:29" ht="27">
      <c r="A3" s="414" t="s">
        <v>2050</v>
      </c>
      <c r="B3" s="1265" t="s">
        <v>2051</v>
      </c>
      <c r="C3" s="2975"/>
      <c r="D3" s="2364"/>
      <c r="E3" s="430" t="s">
        <v>2050</v>
      </c>
      <c r="F3" s="2365" t="s">
        <v>2052</v>
      </c>
      <c r="G3" s="2366"/>
      <c r="H3" s="2362"/>
      <c r="I3" s="2362"/>
      <c r="J3" s="2362"/>
      <c r="K3" s="2362"/>
      <c r="L3" s="2362"/>
      <c r="M3" s="2362"/>
      <c r="N3" s="2362"/>
      <c r="O3" s="2362"/>
      <c r="P3" s="2362"/>
      <c r="Q3" s="2362"/>
      <c r="R3" s="2362"/>
    </row>
    <row r="4" spans="1:29" ht="40.5">
      <c r="A4" s="430"/>
      <c r="B4" s="1792" t="s">
        <v>2053</v>
      </c>
      <c r="C4" s="2976" t="s">
        <v>3113</v>
      </c>
      <c r="D4" s="2364"/>
      <c r="E4" s="2367"/>
      <c r="F4" s="42" t="s">
        <v>2054</v>
      </c>
      <c r="G4" s="2368"/>
      <c r="H4" s="2362"/>
      <c r="I4" s="2362"/>
      <c r="J4" s="2362"/>
      <c r="K4" s="2362"/>
      <c r="L4" s="2362"/>
      <c r="M4" s="2362"/>
      <c r="N4" s="2362"/>
      <c r="O4" s="2362"/>
      <c r="P4" s="2362"/>
      <c r="Q4" s="2362"/>
      <c r="R4" s="2362"/>
    </row>
    <row r="5" spans="1:29" ht="15">
      <c r="A5" s="430"/>
      <c r="B5" s="1792" t="s">
        <v>2055</v>
      </c>
      <c r="C5" s="2976"/>
      <c r="D5" s="2364"/>
      <c r="E5" s="2367"/>
      <c r="F5" s="1792" t="s">
        <v>2056</v>
      </c>
      <c r="G5" s="2368"/>
      <c r="H5" s="2362"/>
      <c r="I5" s="2362"/>
      <c r="J5" s="2362"/>
      <c r="K5" s="2362"/>
      <c r="L5" s="2362"/>
      <c r="M5" s="2362"/>
      <c r="N5" s="2362"/>
      <c r="O5" s="2362"/>
      <c r="P5" s="2362"/>
      <c r="Q5" s="2362"/>
      <c r="R5" s="2362"/>
    </row>
    <row r="6" spans="1:29" ht="54">
      <c r="A6" s="430"/>
      <c r="B6" s="1792" t="s">
        <v>2057</v>
      </c>
      <c r="C6" s="2977" t="s">
        <v>3136</v>
      </c>
      <c r="D6" s="2364"/>
      <c r="E6" s="2367"/>
      <c r="F6" s="1792" t="s">
        <v>2058</v>
      </c>
      <c r="G6" s="2368"/>
      <c r="H6" s="2362"/>
      <c r="I6" s="2362"/>
      <c r="J6" s="2362"/>
      <c r="K6" s="2362"/>
      <c r="L6" s="2362"/>
      <c r="M6" s="2362"/>
      <c r="N6" s="2362"/>
      <c r="O6" s="2362"/>
      <c r="P6" s="2362"/>
      <c r="Q6" s="2362"/>
      <c r="R6" s="2362"/>
    </row>
    <row r="7" spans="1:29" ht="27.75" thickBot="1">
      <c r="A7" s="430"/>
      <c r="B7" s="1792" t="s">
        <v>2056</v>
      </c>
      <c r="C7" s="2977" t="s">
        <v>3111</v>
      </c>
      <c r="D7" s="2369"/>
      <c r="E7" s="2370"/>
      <c r="F7" s="2371" t="s">
        <v>2059</v>
      </c>
      <c r="G7" s="2372"/>
      <c r="H7" s="2362"/>
      <c r="I7" s="2362"/>
      <c r="J7" s="2362"/>
      <c r="K7" s="2362"/>
      <c r="L7" s="2362"/>
      <c r="M7" s="2362"/>
      <c r="N7" s="2362"/>
      <c r="O7" s="2362"/>
      <c r="P7" s="2362"/>
      <c r="Q7" s="2362"/>
      <c r="R7" s="2362"/>
    </row>
    <row r="8" spans="1:29" ht="27">
      <c r="A8" s="430"/>
      <c r="B8" s="1792" t="s">
        <v>2058</v>
      </c>
      <c r="C8" s="2977" t="s">
        <v>3112</v>
      </c>
      <c r="D8" s="2369"/>
      <c r="E8" s="2369"/>
      <c r="F8" s="1130"/>
      <c r="G8" s="1130"/>
      <c r="H8" s="2362"/>
      <c r="I8" s="2362"/>
      <c r="J8" s="2362"/>
      <c r="K8" s="2362"/>
      <c r="L8" s="2362"/>
      <c r="M8" s="2362"/>
      <c r="N8" s="2362"/>
      <c r="O8" s="2362"/>
      <c r="P8" s="2362"/>
      <c r="Q8" s="2362"/>
      <c r="R8" s="2362"/>
    </row>
    <row r="9" spans="1:29" ht="27">
      <c r="A9" s="430"/>
      <c r="B9" s="1792" t="s">
        <v>2060</v>
      </c>
      <c r="C9" s="2976" t="s">
        <v>3137</v>
      </c>
      <c r="D9" s="2364"/>
      <c r="E9" s="2369"/>
      <c r="F9" s="1130"/>
      <c r="G9" s="1130"/>
      <c r="H9" s="2362"/>
      <c r="I9" s="2362"/>
      <c r="J9" s="2362"/>
      <c r="K9" s="2362"/>
      <c r="L9" s="2362"/>
      <c r="M9" s="2362"/>
      <c r="N9" s="2362"/>
      <c r="O9" s="2362"/>
      <c r="P9" s="2362"/>
      <c r="Q9" s="2362"/>
      <c r="R9" s="2362"/>
    </row>
    <row r="10" spans="1:29" s="117" customFormat="1" ht="15.75" thickBot="1">
      <c r="A10" s="2373"/>
      <c r="B10" s="2374" t="s">
        <v>2061</v>
      </c>
      <c r="C10" s="2978" t="s">
        <v>3131</v>
      </c>
      <c r="D10" s="2364"/>
      <c r="E10" s="2364"/>
      <c r="F10" s="1130"/>
      <c r="G10" s="1130"/>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7" customFormat="1" ht="15">
      <c r="A11" s="2378"/>
      <c r="B11" s="2369"/>
      <c r="C11" s="2364"/>
      <c r="D11" s="2364"/>
      <c r="E11" s="2364"/>
      <c r="F11" s="2369"/>
      <c r="G11" s="1148"/>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8">
      <c r="A12" s="2378"/>
      <c r="B12" s="2369"/>
      <c r="C12" s="2364"/>
      <c r="D12" s="2379"/>
      <c r="E12" s="2364"/>
      <c r="F12" s="2369"/>
      <c r="G12" s="1148"/>
      <c r="H12" s="2380"/>
      <c r="I12" s="2381"/>
      <c r="J12" s="2380"/>
      <c r="K12" s="2380"/>
      <c r="L12" s="2376"/>
      <c r="M12" s="2376"/>
      <c r="N12" s="2376"/>
      <c r="O12" s="2383"/>
      <c r="P12" s="2382"/>
      <c r="Q12" s="2382"/>
      <c r="R12" s="2354"/>
      <c r="S12" s="2355"/>
      <c r="T12" s="2355"/>
      <c r="U12" s="2355"/>
      <c r="V12" s="2355"/>
      <c r="W12" s="2355"/>
      <c r="X12" s="2355"/>
      <c r="Y12" s="2355"/>
      <c r="Z12" s="2355"/>
      <c r="AA12" s="2355"/>
      <c r="AB12" s="2355"/>
      <c r="AC12" s="2355"/>
    </row>
    <row r="13" spans="1:29" ht="19.5" thickBot="1">
      <c r="A13" s="2384" t="s">
        <v>2062</v>
      </c>
      <c r="B13" s="2379"/>
      <c r="C13" s="2379"/>
      <c r="D13" s="2385"/>
      <c r="E13" s="2379"/>
      <c r="F13" s="2379"/>
      <c r="G13" s="2379"/>
      <c r="L13" s="2376"/>
      <c r="M13" s="2376"/>
      <c r="N13" s="2376"/>
    </row>
    <row r="14" spans="1:29" ht="15.75" thickBot="1">
      <c r="A14" s="2389"/>
      <c r="B14" s="2390"/>
      <c r="C14" s="2391" t="s">
        <v>2063</v>
      </c>
      <c r="D14" s="2364"/>
      <c r="E14" s="2392"/>
      <c r="F14" s="2392"/>
      <c r="G14" s="2359" t="s">
        <v>2064</v>
      </c>
    </row>
    <row r="15" spans="1:29" ht="27">
      <c r="A15" s="68" t="s">
        <v>2065</v>
      </c>
      <c r="B15" s="1264" t="s">
        <v>2051</v>
      </c>
      <c r="C15" s="2393">
        <f>C3</f>
        <v>0</v>
      </c>
      <c r="D15" s="2364"/>
      <c r="E15" s="2394" t="s">
        <v>2066</v>
      </c>
      <c r="F15" s="1264" t="s">
        <v>2067</v>
      </c>
      <c r="G15" s="134">
        <f>G3</f>
        <v>0</v>
      </c>
    </row>
    <row r="16" spans="1:29" ht="42.75">
      <c r="A16" s="644"/>
      <c r="B16" s="2395" t="s">
        <v>2053</v>
      </c>
      <c r="C16" s="2396" t="str">
        <f>C4</f>
        <v>估价对象位于石景山，周边商业氛围成熟较好，人流量大，商业繁华度较好</v>
      </c>
      <c r="D16" s="2364"/>
      <c r="E16" s="2397"/>
      <c r="F16" s="2398" t="s">
        <v>2054</v>
      </c>
      <c r="G16" s="135">
        <f>G4</f>
        <v>0</v>
      </c>
    </row>
    <row r="17" spans="1:18" ht="15">
      <c r="A17" s="644"/>
      <c r="B17" s="2395" t="s">
        <v>2055</v>
      </c>
      <c r="C17" s="2396">
        <f>C5</f>
        <v>0</v>
      </c>
      <c r="D17" s="2369"/>
      <c r="E17" s="2397"/>
      <c r="F17" s="2398" t="s">
        <v>2068</v>
      </c>
      <c r="G17" s="1566"/>
    </row>
    <row r="18" spans="1:18" ht="57">
      <c r="A18" s="644"/>
      <c r="B18" s="2398" t="s">
        <v>2057</v>
      </c>
      <c r="C18" s="135" t="str">
        <f>C6</f>
        <v>估价对象周边道路状况好、公共交通通达情况好、停车便捷程度好，综合评价交通便捷度较好</v>
      </c>
      <c r="D18" s="2369"/>
      <c r="E18" s="2397"/>
      <c r="F18" s="2398" t="s">
        <v>2059</v>
      </c>
      <c r="G18" s="135">
        <f>G7</f>
        <v>0</v>
      </c>
    </row>
    <row r="19" spans="1:18" ht="15">
      <c r="A19" s="644"/>
      <c r="B19" s="2398" t="s">
        <v>2069</v>
      </c>
      <c r="C19" s="2956" t="s">
        <v>3109</v>
      </c>
      <c r="D19" s="2364"/>
      <c r="E19" s="2397"/>
      <c r="F19" s="1792" t="s">
        <v>2056</v>
      </c>
      <c r="G19" s="135">
        <f>G5</f>
        <v>0</v>
      </c>
    </row>
    <row r="20" spans="1:18" ht="28.5">
      <c r="A20" s="644"/>
      <c r="B20" s="2398" t="s">
        <v>2070</v>
      </c>
      <c r="C20" s="2396" t="str">
        <f>C9</f>
        <v>区域自然环境及人文环境好；综合评价环境状况较好</v>
      </c>
      <c r="D20" s="2369"/>
      <c r="E20" s="2397"/>
      <c r="F20" s="1792" t="s">
        <v>2071</v>
      </c>
      <c r="G20" s="135">
        <f>G6</f>
        <v>0</v>
      </c>
    </row>
    <row r="21" spans="1:18" ht="28.5">
      <c r="A21" s="644"/>
      <c r="B21" s="1792" t="s">
        <v>2056</v>
      </c>
      <c r="C21" s="135" t="str">
        <f>C7</f>
        <v>估价对象所在区域公共配套设施齐备情况较好</v>
      </c>
      <c r="D21" s="2364"/>
      <c r="E21" s="2397"/>
      <c r="F21" s="2398" t="s">
        <v>2072</v>
      </c>
      <c r="G21" s="2399"/>
    </row>
    <row r="22" spans="1:18" ht="13.5" customHeight="1">
      <c r="A22" s="644"/>
      <c r="B22" s="1792" t="s">
        <v>2058</v>
      </c>
      <c r="C22" s="135" t="str">
        <f>C8</f>
        <v>估价对象所在区域基础设施水平高</v>
      </c>
      <c r="D22" s="2364"/>
      <c r="E22" s="2397"/>
      <c r="F22" s="2398" t="s">
        <v>2061</v>
      </c>
      <c r="G22" s="1566"/>
    </row>
    <row r="23" spans="1:18" s="2362" customFormat="1" ht="15.75" thickBot="1">
      <c r="A23" s="644"/>
      <c r="B23" s="2398" t="s">
        <v>2072</v>
      </c>
      <c r="C23" s="2399" t="s">
        <v>3110</v>
      </c>
      <c r="D23" s="2386"/>
      <c r="E23" s="2400"/>
      <c r="F23" s="2401" t="s">
        <v>2073</v>
      </c>
      <c r="G23" s="2402"/>
      <c r="H23" s="2386"/>
      <c r="I23" s="2387"/>
      <c r="J23" s="2386"/>
      <c r="K23" s="2386"/>
      <c r="L23" s="2387"/>
      <c r="M23" s="2386"/>
      <c r="N23" s="2386"/>
      <c r="O23" s="2387"/>
      <c r="P23" s="2386"/>
      <c r="Q23" s="2386"/>
      <c r="R23" s="2388"/>
    </row>
    <row r="24" spans="1:18" s="2362" customFormat="1" ht="15.75" thickBot="1">
      <c r="A24" s="2403"/>
      <c r="B24" s="2401" t="s">
        <v>2074</v>
      </c>
      <c r="C24" s="136" t="str">
        <f>C10</f>
        <v>主干道-石景山路</v>
      </c>
      <c r="D24" s="2386"/>
      <c r="E24" s="2404"/>
      <c r="F24" s="2404"/>
      <c r="G24" s="2405"/>
      <c r="H24" s="2386"/>
      <c r="I24" s="2387"/>
      <c r="J24" s="2386"/>
      <c r="K24" s="2386"/>
      <c r="L24" s="2387"/>
      <c r="M24" s="2386"/>
      <c r="N24" s="2386"/>
      <c r="O24" s="2387"/>
      <c r="P24" s="2386"/>
      <c r="Q24" s="2386"/>
      <c r="R24" s="2388"/>
    </row>
    <row r="25" spans="1:18" s="2362" customFormat="1">
      <c r="B25" s="2386"/>
      <c r="C25" s="2386"/>
      <c r="D25" s="2386"/>
      <c r="H25" s="2386"/>
      <c r="I25" s="2387"/>
      <c r="J25" s="2386"/>
      <c r="K25" s="2386"/>
      <c r="L25" s="2387"/>
      <c r="M25" s="2386"/>
      <c r="N25" s="2386"/>
      <c r="O25" s="2387"/>
      <c r="P25" s="2386"/>
      <c r="Q25" s="2386"/>
      <c r="R25" s="2388"/>
    </row>
    <row r="26" spans="1:18" s="2362" customFormat="1">
      <c r="B26" s="2386"/>
      <c r="C26" s="2386"/>
      <c r="D26" s="2386"/>
      <c r="H26" s="2386"/>
      <c r="I26" s="2387"/>
      <c r="J26" s="2386"/>
      <c r="K26" s="2386"/>
      <c r="L26" s="2387"/>
      <c r="M26" s="2386"/>
      <c r="N26" s="2386"/>
      <c r="O26" s="2387"/>
      <c r="P26" s="2386"/>
      <c r="Q26" s="2386"/>
      <c r="R26" s="2388"/>
    </row>
    <row r="27" spans="1:18" s="2362" customFormat="1">
      <c r="B27" s="2386"/>
      <c r="C27" s="2386"/>
      <c r="D27" s="2386"/>
      <c r="H27" s="2386"/>
      <c r="I27" s="2387"/>
      <c r="J27" s="2386"/>
      <c r="K27" s="2386"/>
      <c r="L27" s="2387"/>
      <c r="M27" s="2386"/>
      <c r="N27" s="2386"/>
      <c r="O27" s="2387"/>
      <c r="P27" s="2386"/>
      <c r="Q27" s="2386"/>
      <c r="R27" s="2388"/>
    </row>
    <row r="28" spans="1:18" s="2362" customFormat="1">
      <c r="B28" s="2386"/>
      <c r="C28" s="2386"/>
      <c r="D28" s="2386"/>
      <c r="H28" s="2386"/>
      <c r="I28" s="2387"/>
      <c r="J28" s="2386"/>
      <c r="K28" s="2386"/>
      <c r="L28" s="2387"/>
      <c r="M28" s="2386"/>
      <c r="N28" s="2386"/>
      <c r="O28" s="2387"/>
      <c r="P28" s="2386"/>
      <c r="Q28" s="2386"/>
      <c r="R28" s="2388"/>
    </row>
    <row r="29" spans="1:18" s="2362" customFormat="1">
      <c r="B29" s="2386"/>
      <c r="C29" s="2386"/>
      <c r="D29" s="2386"/>
      <c r="H29" s="2386"/>
      <c r="I29" s="2387"/>
      <c r="J29" s="2386"/>
      <c r="K29" s="2386"/>
      <c r="L29" s="2387"/>
      <c r="M29" s="2386"/>
      <c r="N29" s="2386"/>
      <c r="O29" s="2387"/>
      <c r="P29" s="2386"/>
      <c r="Q29" s="2386"/>
      <c r="R29" s="2388"/>
    </row>
    <row r="30" spans="1:18" s="2362" customFormat="1">
      <c r="B30" s="2386"/>
      <c r="C30" s="2386"/>
      <c r="D30" s="2386"/>
      <c r="H30" s="2386"/>
      <c r="I30" s="2387"/>
      <c r="J30" s="2386"/>
      <c r="K30" s="2386"/>
      <c r="L30" s="2387"/>
      <c r="M30" s="2386"/>
      <c r="N30" s="2386"/>
      <c r="O30" s="2387"/>
      <c r="P30" s="2386"/>
      <c r="Q30" s="2386"/>
      <c r="R30" s="2388"/>
    </row>
    <row r="31" spans="1:18" s="2362" customFormat="1">
      <c r="B31" s="2386"/>
      <c r="C31" s="2386"/>
      <c r="D31" s="2386"/>
      <c r="H31" s="2386"/>
      <c r="I31" s="2387"/>
      <c r="J31" s="2386"/>
      <c r="K31" s="2386"/>
      <c r="L31" s="2387"/>
      <c r="M31" s="2386"/>
      <c r="N31" s="2386"/>
      <c r="O31" s="2387"/>
      <c r="P31" s="2386"/>
      <c r="Q31" s="2386"/>
      <c r="R31" s="2388"/>
    </row>
    <row r="32" spans="1:18" s="2362" customFormat="1">
      <c r="B32" s="2386"/>
      <c r="C32" s="2386"/>
      <c r="D32" s="2386"/>
      <c r="H32" s="2386"/>
      <c r="I32" s="2387"/>
      <c r="J32" s="2386"/>
      <c r="K32" s="2386"/>
      <c r="L32" s="2387"/>
      <c r="M32" s="2386"/>
      <c r="N32" s="2386"/>
      <c r="O32" s="2387"/>
      <c r="P32" s="2386"/>
      <c r="Q32" s="2386"/>
      <c r="R32" s="2388"/>
    </row>
    <row r="33" spans="2:18" s="2362" customFormat="1">
      <c r="B33" s="2386"/>
      <c r="C33" s="2386"/>
      <c r="D33" s="2386"/>
      <c r="H33" s="2386"/>
      <c r="I33" s="2387"/>
      <c r="J33" s="2386"/>
      <c r="K33" s="2386"/>
      <c r="L33" s="2387"/>
      <c r="M33" s="2386"/>
      <c r="N33" s="2386"/>
      <c r="O33" s="2387"/>
      <c r="P33" s="2386"/>
      <c r="Q33" s="2386"/>
      <c r="R33" s="2388"/>
    </row>
    <row r="34" spans="2:18" s="2362" customFormat="1">
      <c r="B34" s="2386"/>
      <c r="C34" s="2386"/>
      <c r="D34" s="2386"/>
      <c r="H34" s="2386"/>
      <c r="I34" s="2387"/>
      <c r="J34" s="2386"/>
      <c r="K34" s="2386"/>
      <c r="L34" s="2387"/>
      <c r="M34" s="2386"/>
      <c r="N34" s="2386"/>
      <c r="O34" s="2387"/>
      <c r="P34" s="2386"/>
      <c r="Q34" s="2386"/>
      <c r="R34" s="2388"/>
    </row>
    <row r="35" spans="2:18" s="2362" customFormat="1">
      <c r="B35" s="2386"/>
      <c r="C35" s="2386"/>
      <c r="D35" s="2386"/>
      <c r="H35" s="2386"/>
      <c r="I35" s="2387"/>
      <c r="J35" s="2386"/>
      <c r="K35" s="2386"/>
      <c r="L35" s="2387"/>
      <c r="M35" s="2386"/>
      <c r="N35" s="2386"/>
      <c r="O35" s="2387"/>
      <c r="P35" s="2386"/>
      <c r="Q35" s="2386"/>
      <c r="R35" s="2388"/>
    </row>
    <row r="36" spans="2:18" s="2362" customFormat="1">
      <c r="B36" s="2386"/>
      <c r="C36" s="2386"/>
      <c r="D36" s="2386"/>
      <c r="H36" s="2386"/>
      <c r="I36" s="2387"/>
      <c r="J36" s="2386"/>
      <c r="K36" s="2386"/>
      <c r="L36" s="2387"/>
      <c r="M36" s="2386"/>
      <c r="N36" s="2386"/>
      <c r="O36" s="2387"/>
      <c r="P36" s="2386"/>
      <c r="Q36" s="2386"/>
      <c r="R36" s="2388"/>
    </row>
    <row r="37" spans="2:18" s="2362" customFormat="1">
      <c r="B37" s="2386"/>
      <c r="C37" s="2386"/>
      <c r="D37" s="2386"/>
      <c r="H37" s="2386"/>
      <c r="I37" s="2387"/>
      <c r="J37" s="2386"/>
      <c r="K37" s="2386"/>
      <c r="L37" s="2387"/>
      <c r="M37" s="2386"/>
      <c r="N37" s="2386"/>
      <c r="O37" s="2387"/>
      <c r="P37" s="2386"/>
      <c r="Q37" s="2386"/>
      <c r="R37" s="2388"/>
    </row>
    <row r="38" spans="2:18" s="2362" customFormat="1">
      <c r="B38" s="2386"/>
      <c r="C38" s="2386"/>
      <c r="D38" s="2386"/>
      <c r="E38" s="2386"/>
      <c r="F38" s="2386"/>
      <c r="G38" s="2387"/>
      <c r="H38" s="2386"/>
      <c r="I38" s="2387"/>
      <c r="J38" s="2386"/>
      <c r="K38" s="2386"/>
      <c r="L38" s="2387"/>
      <c r="M38" s="2386"/>
      <c r="N38" s="2386"/>
      <c r="O38" s="2387"/>
      <c r="P38" s="2386"/>
      <c r="Q38" s="2386"/>
      <c r="R38" s="2388"/>
    </row>
    <row r="39" spans="2:18" s="2362" customFormat="1">
      <c r="B39" s="2386"/>
      <c r="C39" s="2386"/>
      <c r="D39" s="2386"/>
      <c r="E39" s="2386"/>
      <c r="F39" s="2386"/>
      <c r="G39" s="2387"/>
      <c r="H39" s="2386"/>
      <c r="I39" s="2387"/>
      <c r="J39" s="2386"/>
      <c r="K39" s="2386"/>
      <c r="L39" s="2387"/>
      <c r="M39" s="2386"/>
      <c r="N39" s="2386"/>
      <c r="O39" s="2387"/>
      <c r="P39" s="2386"/>
      <c r="Q39" s="2386"/>
      <c r="R39" s="2388"/>
    </row>
    <row r="40" spans="2:18" s="2362" customFormat="1">
      <c r="B40" s="2386"/>
      <c r="C40" s="2386"/>
      <c r="D40" s="2386"/>
      <c r="E40" s="2386"/>
      <c r="F40" s="2386"/>
      <c r="G40" s="2387"/>
      <c r="H40" s="2386"/>
      <c r="I40" s="2387"/>
      <c r="J40" s="2386"/>
      <c r="K40" s="2386"/>
      <c r="L40" s="2387"/>
      <c r="M40" s="2386"/>
      <c r="N40" s="2386"/>
      <c r="O40" s="2387"/>
      <c r="P40" s="2386"/>
      <c r="Q40" s="2386"/>
      <c r="R40" s="2388"/>
    </row>
    <row r="41" spans="2:18" s="2362" customFormat="1">
      <c r="B41" s="2386"/>
      <c r="C41" s="2386"/>
      <c r="D41" s="2386"/>
      <c r="E41" s="2386"/>
      <c r="F41" s="2386"/>
      <c r="G41" s="2387"/>
      <c r="H41" s="2386"/>
      <c r="I41" s="2387"/>
      <c r="J41" s="2386"/>
      <c r="K41" s="2386"/>
      <c r="L41" s="2387"/>
      <c r="M41" s="2386"/>
      <c r="N41" s="2386"/>
      <c r="O41" s="2387"/>
      <c r="P41" s="2386"/>
      <c r="Q41" s="2386"/>
      <c r="R41" s="2388"/>
    </row>
    <row r="42" spans="2:18" s="2362" customFormat="1">
      <c r="B42" s="2386"/>
      <c r="C42" s="2386"/>
      <c r="D42" s="2386"/>
      <c r="E42" s="2386"/>
      <c r="F42" s="2386"/>
      <c r="G42" s="2387"/>
      <c r="H42" s="2386"/>
      <c r="I42" s="2387"/>
      <c r="J42" s="2386"/>
      <c r="K42" s="2386"/>
      <c r="L42" s="2387"/>
      <c r="M42" s="2386"/>
      <c r="N42" s="2386"/>
      <c r="O42" s="2387"/>
      <c r="P42" s="2386"/>
      <c r="Q42" s="2386"/>
      <c r="R42" s="2388"/>
    </row>
    <row r="43" spans="2:18" s="2362" customFormat="1">
      <c r="B43" s="2386"/>
      <c r="C43" s="2386"/>
      <c r="D43" s="2386"/>
      <c r="E43" s="2386"/>
      <c r="F43" s="2386"/>
      <c r="G43" s="2387"/>
      <c r="H43" s="2386"/>
      <c r="I43" s="2387"/>
      <c r="J43" s="2386"/>
      <c r="K43" s="2386"/>
      <c r="L43" s="2387"/>
      <c r="M43" s="2386"/>
      <c r="N43" s="2386"/>
      <c r="O43" s="2387"/>
      <c r="P43" s="2386"/>
      <c r="Q43" s="2386"/>
      <c r="R43" s="2388"/>
    </row>
    <row r="44" spans="2:18" s="2362" customFormat="1">
      <c r="B44" s="2386"/>
      <c r="C44" s="2386"/>
      <c r="D44" s="2386"/>
      <c r="E44" s="2386"/>
      <c r="F44" s="2386"/>
      <c r="G44" s="2387"/>
      <c r="H44" s="2386"/>
      <c r="I44" s="2387"/>
      <c r="J44" s="2386"/>
      <c r="K44" s="2386"/>
      <c r="L44" s="2387"/>
      <c r="M44" s="2386"/>
      <c r="N44" s="2386"/>
      <c r="O44" s="2387"/>
      <c r="P44" s="2386"/>
      <c r="Q44" s="2386"/>
      <c r="R44" s="2388"/>
    </row>
    <row r="45" spans="2:18" s="2362" customFormat="1">
      <c r="B45" s="2386"/>
      <c r="C45" s="2386"/>
      <c r="D45" s="2386"/>
      <c r="E45" s="2386"/>
      <c r="F45" s="2386"/>
      <c r="G45" s="2387"/>
      <c r="H45" s="2386"/>
      <c r="I45" s="2387"/>
      <c r="J45" s="2386"/>
      <c r="K45" s="2386"/>
      <c r="L45" s="2387"/>
      <c r="M45" s="2386"/>
      <c r="N45" s="2386"/>
      <c r="O45" s="2387"/>
      <c r="P45" s="2386"/>
      <c r="Q45" s="2386"/>
      <c r="R45" s="2388"/>
    </row>
    <row r="46" spans="2:18" s="2362" customFormat="1">
      <c r="B46" s="2386"/>
      <c r="C46" s="2386"/>
      <c r="D46" s="2386"/>
      <c r="E46" s="2386"/>
      <c r="F46" s="2386"/>
      <c r="G46" s="2387"/>
      <c r="H46" s="2386"/>
      <c r="I46" s="2387"/>
      <c r="J46" s="2386"/>
      <c r="K46" s="2386"/>
      <c r="L46" s="2387"/>
      <c r="M46" s="2386"/>
      <c r="N46" s="2386"/>
      <c r="O46" s="2387"/>
      <c r="P46" s="2386"/>
      <c r="Q46" s="2386"/>
      <c r="R46" s="2388"/>
    </row>
    <row r="47" spans="2:18" s="2362" customFormat="1">
      <c r="B47" s="2386"/>
      <c r="C47" s="2386"/>
      <c r="D47" s="2386"/>
      <c r="E47" s="2386"/>
      <c r="F47" s="2386"/>
      <c r="G47" s="2387"/>
      <c r="H47" s="2386"/>
      <c r="I47" s="2387"/>
      <c r="J47" s="2386"/>
      <c r="K47" s="2386"/>
      <c r="L47" s="2387"/>
      <c r="M47" s="2386"/>
      <c r="N47" s="2386"/>
      <c r="O47" s="2387"/>
      <c r="P47" s="2386"/>
      <c r="Q47" s="2386"/>
      <c r="R47" s="2388"/>
    </row>
    <row r="48" spans="2:18" s="2362" customFormat="1">
      <c r="B48" s="2386"/>
      <c r="C48" s="2386"/>
      <c r="D48" s="2386"/>
      <c r="E48" s="2386"/>
      <c r="F48" s="2386"/>
      <c r="G48" s="2387"/>
      <c r="H48" s="2386"/>
      <c r="I48" s="2387"/>
      <c r="J48" s="2386"/>
      <c r="K48" s="2386"/>
      <c r="L48" s="2387"/>
      <c r="M48" s="2386"/>
      <c r="N48" s="2386"/>
      <c r="O48" s="2387"/>
      <c r="P48" s="2386"/>
      <c r="Q48" s="2386"/>
      <c r="R48" s="2388"/>
    </row>
    <row r="49" spans="2:18" s="2362" customFormat="1">
      <c r="B49" s="2386"/>
      <c r="C49" s="2386"/>
      <c r="D49" s="2386"/>
      <c r="E49" s="2386"/>
      <c r="F49" s="2386"/>
      <c r="G49" s="2387"/>
      <c r="H49" s="2386"/>
      <c r="I49" s="2387"/>
      <c r="J49" s="2386"/>
      <c r="K49" s="2386"/>
      <c r="L49" s="2387"/>
      <c r="M49" s="2386"/>
      <c r="N49" s="2386"/>
      <c r="O49" s="2387"/>
      <c r="P49" s="2386"/>
      <c r="Q49" s="2386"/>
      <c r="R49" s="2388"/>
    </row>
    <row r="50" spans="2:18" s="2362" customFormat="1">
      <c r="B50" s="2386"/>
      <c r="C50" s="2386"/>
      <c r="D50" s="2386"/>
      <c r="E50" s="2386"/>
      <c r="F50" s="2386"/>
      <c r="G50" s="2387"/>
      <c r="H50" s="2386"/>
      <c r="I50" s="2387"/>
      <c r="J50" s="2386"/>
      <c r="K50" s="2386"/>
      <c r="L50" s="2387"/>
      <c r="M50" s="2386"/>
      <c r="N50" s="2386"/>
      <c r="O50" s="2387"/>
      <c r="P50" s="2386"/>
      <c r="Q50" s="2386"/>
      <c r="R50" s="2388"/>
    </row>
    <row r="51" spans="2:18" s="2362" customFormat="1">
      <c r="B51" s="2386"/>
      <c r="C51" s="2386"/>
      <c r="D51" s="2386"/>
      <c r="E51" s="2386"/>
      <c r="F51" s="2386"/>
      <c r="G51" s="2387"/>
      <c r="H51" s="2386"/>
      <c r="I51" s="2387"/>
      <c r="J51" s="2386"/>
      <c r="K51" s="2386"/>
      <c r="L51" s="2387"/>
      <c r="M51" s="2386"/>
      <c r="N51" s="2386"/>
      <c r="O51" s="2387"/>
      <c r="P51" s="2386"/>
      <c r="Q51" s="2386"/>
      <c r="R51" s="2388"/>
    </row>
    <row r="52" spans="2:18" s="2362" customFormat="1">
      <c r="B52" s="2386"/>
      <c r="C52" s="2386"/>
      <c r="D52" s="2386"/>
      <c r="E52" s="2386"/>
      <c r="F52" s="2386"/>
      <c r="G52" s="2387"/>
      <c r="H52" s="2386"/>
      <c r="I52" s="2387"/>
      <c r="J52" s="2386"/>
      <c r="K52" s="2386"/>
      <c r="L52" s="2387"/>
      <c r="M52" s="2386"/>
      <c r="N52" s="2386"/>
      <c r="O52" s="2387"/>
      <c r="P52" s="2386"/>
      <c r="Q52" s="2386"/>
      <c r="R52" s="2388"/>
    </row>
    <row r="53" spans="2:18" s="2362" customFormat="1">
      <c r="B53" s="2386"/>
      <c r="C53" s="2386"/>
      <c r="D53" s="2386"/>
      <c r="E53" s="2386"/>
      <c r="F53" s="2386"/>
      <c r="G53" s="2387"/>
      <c r="H53" s="2386"/>
      <c r="I53" s="2387"/>
      <c r="J53" s="2386"/>
      <c r="K53" s="2386"/>
      <c r="L53" s="2387"/>
      <c r="M53" s="2386"/>
      <c r="N53" s="2386"/>
      <c r="O53" s="2387"/>
      <c r="P53" s="2386"/>
      <c r="Q53" s="2386"/>
      <c r="R53" s="2388"/>
    </row>
    <row r="54" spans="2:18" s="2362" customFormat="1">
      <c r="B54" s="2386"/>
      <c r="C54" s="2386"/>
      <c r="D54" s="2386"/>
      <c r="E54" s="2386"/>
      <c r="F54" s="2386"/>
      <c r="G54" s="2387"/>
      <c r="H54" s="2386"/>
      <c r="I54" s="2387"/>
      <c r="J54" s="2386"/>
      <c r="K54" s="2386"/>
      <c r="L54" s="2387"/>
      <c r="M54" s="2386"/>
      <c r="N54" s="2386"/>
      <c r="O54" s="2387"/>
      <c r="P54" s="2386"/>
      <c r="Q54" s="2386"/>
      <c r="R54" s="2388"/>
    </row>
    <row r="55" spans="2:18" s="2362" customFormat="1">
      <c r="B55" s="2386"/>
      <c r="C55" s="2386"/>
      <c r="D55" s="2386"/>
      <c r="E55" s="2386"/>
      <c r="F55" s="2386"/>
      <c r="G55" s="2387"/>
      <c r="H55" s="2386"/>
      <c r="I55" s="2387"/>
      <c r="J55" s="2386"/>
      <c r="K55" s="2386"/>
      <c r="L55" s="2387"/>
      <c r="M55" s="2386"/>
      <c r="N55" s="2386"/>
      <c r="O55" s="2387"/>
      <c r="P55" s="2386"/>
      <c r="Q55" s="2386"/>
      <c r="R55" s="2388"/>
    </row>
    <row r="56" spans="2:18" s="2362" customFormat="1">
      <c r="B56" s="2386"/>
      <c r="C56" s="2386"/>
      <c r="D56" s="2386"/>
      <c r="E56" s="2386"/>
      <c r="F56" s="2386"/>
      <c r="G56" s="2387"/>
      <c r="H56" s="2386"/>
      <c r="I56" s="2387"/>
      <c r="J56" s="2386"/>
      <c r="K56" s="2386"/>
      <c r="L56" s="2387"/>
      <c r="M56" s="2386"/>
      <c r="N56" s="2386"/>
      <c r="O56" s="2387"/>
      <c r="P56" s="2386"/>
      <c r="Q56" s="2386"/>
      <c r="R56" s="2388"/>
    </row>
    <row r="57" spans="2:18" s="2362" customFormat="1">
      <c r="B57" s="2386"/>
      <c r="C57" s="2386"/>
      <c r="D57" s="2386"/>
      <c r="E57" s="2386"/>
      <c r="F57" s="2386"/>
      <c r="G57" s="2387"/>
      <c r="H57" s="2386"/>
      <c r="I57" s="2387"/>
      <c r="J57" s="2386"/>
      <c r="K57" s="2386"/>
      <c r="L57" s="2387"/>
      <c r="M57" s="2386"/>
      <c r="N57" s="2386"/>
      <c r="O57" s="2387"/>
      <c r="P57" s="2386"/>
      <c r="Q57" s="2386"/>
      <c r="R57" s="2388"/>
    </row>
    <row r="58" spans="2:18" s="2362" customFormat="1">
      <c r="B58" s="2386"/>
      <c r="C58" s="2386"/>
      <c r="D58" s="2386"/>
      <c r="E58" s="2386"/>
      <c r="F58" s="2386"/>
      <c r="G58" s="2387"/>
      <c r="H58" s="2386"/>
      <c r="I58" s="2387"/>
      <c r="J58" s="2386"/>
      <c r="K58" s="2386"/>
      <c r="L58" s="2387"/>
      <c r="M58" s="2386"/>
      <c r="N58" s="2386"/>
      <c r="O58" s="2387"/>
      <c r="P58" s="2386"/>
      <c r="Q58" s="2386"/>
      <c r="R58" s="2388"/>
    </row>
    <row r="59" spans="2:18" s="2362" customFormat="1">
      <c r="B59" s="2386"/>
      <c r="C59" s="2386"/>
      <c r="D59" s="2386"/>
      <c r="E59" s="2386"/>
      <c r="F59" s="2386"/>
      <c r="G59" s="2387"/>
      <c r="H59" s="2386"/>
      <c r="I59" s="2387"/>
      <c r="J59" s="2386"/>
      <c r="K59" s="2386"/>
      <c r="L59" s="2387"/>
      <c r="M59" s="2386"/>
      <c r="N59" s="2386"/>
      <c r="O59" s="2387"/>
      <c r="P59" s="2386"/>
      <c r="Q59" s="2386"/>
      <c r="R59" s="2388"/>
    </row>
    <row r="60" spans="2:18" s="2362" customFormat="1">
      <c r="B60" s="2386"/>
      <c r="C60" s="2386"/>
      <c r="D60" s="2386"/>
      <c r="E60" s="2386"/>
      <c r="F60" s="2386"/>
      <c r="G60" s="2387"/>
      <c r="H60" s="2386"/>
      <c r="I60" s="2387"/>
      <c r="J60" s="2386"/>
      <c r="K60" s="2386"/>
      <c r="L60" s="2387"/>
      <c r="M60" s="2386"/>
      <c r="N60" s="2386"/>
      <c r="O60" s="2387"/>
      <c r="P60" s="2386"/>
      <c r="Q60" s="2386"/>
      <c r="R60" s="2388"/>
    </row>
    <row r="61" spans="2:18" s="2362" customFormat="1">
      <c r="B61" s="2386"/>
      <c r="C61" s="2386"/>
      <c r="D61" s="2386"/>
      <c r="E61" s="2386"/>
      <c r="F61" s="2386"/>
      <c r="G61" s="2387"/>
      <c r="H61" s="2386"/>
      <c r="I61" s="2387"/>
      <c r="J61" s="2386"/>
      <c r="K61" s="2386"/>
      <c r="L61" s="2387"/>
      <c r="M61" s="2386"/>
      <c r="N61" s="2386"/>
      <c r="O61" s="2387"/>
      <c r="P61" s="2386"/>
      <c r="Q61" s="2386"/>
      <c r="R61" s="2388"/>
    </row>
    <row r="62" spans="2:18" s="2362" customFormat="1">
      <c r="B62" s="2386"/>
      <c r="C62" s="2386"/>
      <c r="D62" s="2386"/>
      <c r="E62" s="2386"/>
      <c r="F62" s="2386"/>
      <c r="G62" s="2387"/>
      <c r="H62" s="2386"/>
      <c r="I62" s="2387"/>
      <c r="J62" s="2386"/>
      <c r="K62" s="2386"/>
      <c r="L62" s="2387"/>
      <c r="M62" s="2386"/>
      <c r="N62" s="2386"/>
      <c r="O62" s="2387"/>
      <c r="P62" s="2386"/>
      <c r="Q62" s="2386"/>
      <c r="R62" s="2388"/>
    </row>
    <row r="63" spans="2:18" s="2362" customFormat="1">
      <c r="B63" s="2386"/>
      <c r="C63" s="2386"/>
      <c r="D63" s="2386"/>
      <c r="E63" s="2386"/>
      <c r="F63" s="2386"/>
      <c r="G63" s="2387"/>
      <c r="H63" s="2386"/>
      <c r="I63" s="2387"/>
      <c r="J63" s="2386"/>
      <c r="K63" s="2386"/>
      <c r="L63" s="2387"/>
      <c r="M63" s="2386"/>
      <c r="N63" s="2386"/>
      <c r="O63" s="2387"/>
      <c r="P63" s="2386"/>
      <c r="Q63" s="2386"/>
      <c r="R63" s="2388"/>
    </row>
    <row r="64" spans="2:18" s="2362" customFormat="1">
      <c r="B64" s="2386"/>
      <c r="C64" s="2386"/>
      <c r="D64" s="2386"/>
      <c r="E64" s="2386"/>
      <c r="F64" s="2386"/>
      <c r="G64" s="2387"/>
      <c r="H64" s="2386"/>
      <c r="I64" s="2387"/>
      <c r="J64" s="2386"/>
      <c r="K64" s="2386"/>
      <c r="L64" s="2387"/>
      <c r="M64" s="2386"/>
      <c r="N64" s="2386"/>
      <c r="O64" s="2387"/>
      <c r="P64" s="2386"/>
      <c r="Q64" s="2386"/>
      <c r="R64" s="2388"/>
    </row>
    <row r="65" spans="2:18" s="2362" customFormat="1">
      <c r="B65" s="2386"/>
      <c r="C65" s="2386"/>
      <c r="D65" s="2386"/>
      <c r="E65" s="2386"/>
      <c r="F65" s="2386"/>
      <c r="G65" s="2387"/>
      <c r="H65" s="2386"/>
      <c r="I65" s="2387"/>
      <c r="J65" s="2386"/>
      <c r="K65" s="2386"/>
      <c r="L65" s="2387"/>
      <c r="M65" s="2386"/>
      <c r="N65" s="2386"/>
      <c r="O65" s="2387"/>
      <c r="P65" s="2386"/>
      <c r="Q65" s="2386"/>
      <c r="R65" s="2388"/>
    </row>
    <row r="66" spans="2:18" s="2362" customFormat="1">
      <c r="B66" s="2386"/>
      <c r="C66" s="2386"/>
      <c r="D66" s="2386"/>
      <c r="E66" s="2386"/>
      <c r="F66" s="2386"/>
      <c r="G66" s="2387"/>
      <c r="H66" s="2386"/>
      <c r="I66" s="2387"/>
      <c r="J66" s="2386"/>
      <c r="K66" s="2386"/>
      <c r="L66" s="2387"/>
      <c r="M66" s="2386"/>
      <c r="N66" s="2386"/>
      <c r="O66" s="2387"/>
      <c r="P66" s="2386"/>
      <c r="Q66" s="2386"/>
      <c r="R66" s="2388"/>
    </row>
    <row r="67" spans="2:18" s="2362" customFormat="1">
      <c r="B67" s="2386"/>
      <c r="C67" s="2386"/>
      <c r="D67" s="2386"/>
      <c r="E67" s="2386"/>
      <c r="F67" s="2386"/>
      <c r="G67" s="2387"/>
      <c r="H67" s="2386"/>
      <c r="I67" s="2387"/>
      <c r="J67" s="2386"/>
      <c r="K67" s="2386"/>
      <c r="L67" s="2387"/>
      <c r="M67" s="2386"/>
      <c r="N67" s="2386"/>
      <c r="O67" s="2387"/>
      <c r="P67" s="2386"/>
      <c r="Q67" s="2386"/>
      <c r="R67" s="2388"/>
    </row>
    <row r="68" spans="2:18" s="2362" customFormat="1">
      <c r="B68" s="2386"/>
      <c r="C68" s="2386"/>
      <c r="D68" s="2386"/>
      <c r="E68" s="2386"/>
      <c r="F68" s="2386"/>
      <c r="G68" s="2387"/>
      <c r="H68" s="2386"/>
      <c r="I68" s="2387"/>
      <c r="J68" s="2386"/>
      <c r="K68" s="2386"/>
      <c r="L68" s="2387"/>
      <c r="M68" s="2386"/>
      <c r="N68" s="2386"/>
      <c r="O68" s="2387"/>
      <c r="P68" s="2386"/>
      <c r="Q68" s="2386"/>
      <c r="R68" s="2388"/>
    </row>
    <row r="69" spans="2:18" s="2362" customFormat="1">
      <c r="B69" s="2386"/>
      <c r="C69" s="2386"/>
      <c r="D69" s="2386"/>
      <c r="E69" s="2386"/>
      <c r="F69" s="2386"/>
      <c r="G69" s="2387"/>
      <c r="H69" s="2386"/>
      <c r="I69" s="2387"/>
      <c r="J69" s="2386"/>
      <c r="K69" s="2386"/>
      <c r="L69" s="2387"/>
      <c r="M69" s="2386"/>
      <c r="N69" s="2386"/>
      <c r="O69" s="2387"/>
      <c r="P69" s="2386"/>
      <c r="Q69" s="2386"/>
      <c r="R69" s="2388"/>
    </row>
    <row r="70" spans="2:18" s="2362" customFormat="1">
      <c r="B70" s="2386"/>
      <c r="C70" s="2386"/>
      <c r="D70" s="2386"/>
      <c r="E70" s="2386"/>
      <c r="F70" s="2386"/>
      <c r="G70" s="2387"/>
      <c r="H70" s="2386"/>
      <c r="I70" s="2387"/>
      <c r="J70" s="2386"/>
      <c r="K70" s="2386"/>
      <c r="L70" s="2387"/>
      <c r="M70" s="2386"/>
      <c r="N70" s="2386"/>
      <c r="O70" s="2387"/>
      <c r="P70" s="2386"/>
      <c r="Q70" s="2386"/>
      <c r="R70" s="2388"/>
    </row>
    <row r="71" spans="2:18" s="2362" customFormat="1">
      <c r="B71" s="2386"/>
      <c r="C71" s="2386"/>
      <c r="D71" s="2386"/>
      <c r="E71" s="2386"/>
      <c r="F71" s="2386"/>
      <c r="G71" s="2387"/>
      <c r="H71" s="2386"/>
      <c r="I71" s="2387"/>
      <c r="J71" s="2386"/>
      <c r="K71" s="2386"/>
      <c r="L71" s="2387"/>
      <c r="M71" s="2386"/>
      <c r="N71" s="2386"/>
      <c r="O71" s="2387"/>
      <c r="P71" s="2386"/>
      <c r="Q71" s="2386"/>
      <c r="R71" s="2388"/>
    </row>
    <row r="72" spans="2:18" s="2362" customFormat="1">
      <c r="B72" s="2386"/>
      <c r="C72" s="2386"/>
      <c r="D72" s="2386"/>
      <c r="E72" s="2386"/>
      <c r="F72" s="2386"/>
      <c r="G72" s="2387"/>
      <c r="H72" s="2386"/>
      <c r="I72" s="2387"/>
      <c r="J72" s="2386"/>
      <c r="K72" s="2386"/>
      <c r="L72" s="2387"/>
      <c r="M72" s="2386"/>
      <c r="N72" s="2386"/>
      <c r="O72" s="2387"/>
      <c r="P72" s="2386"/>
      <c r="Q72" s="2386"/>
      <c r="R72" s="2388"/>
    </row>
    <row r="73" spans="2:18" s="2362" customFormat="1">
      <c r="B73" s="2386"/>
      <c r="C73" s="2386"/>
      <c r="D73" s="2386"/>
      <c r="E73" s="2386"/>
      <c r="F73" s="2386"/>
      <c r="G73" s="2387"/>
      <c r="H73" s="2386"/>
      <c r="I73" s="2387"/>
      <c r="J73" s="2386"/>
      <c r="K73" s="2386"/>
      <c r="L73" s="2387"/>
      <c r="M73" s="2386"/>
      <c r="N73" s="2386"/>
      <c r="O73" s="2387"/>
      <c r="P73" s="2386"/>
      <c r="Q73" s="2386"/>
      <c r="R73" s="2388"/>
    </row>
    <row r="74" spans="2:18" s="2362" customFormat="1">
      <c r="B74" s="2386"/>
      <c r="C74" s="2386"/>
      <c r="D74" s="2386"/>
      <c r="E74" s="2386"/>
      <c r="F74" s="2386"/>
      <c r="G74" s="2387"/>
      <c r="H74" s="2386"/>
      <c r="I74" s="2387"/>
      <c r="J74" s="2386"/>
      <c r="K74" s="2386"/>
      <c r="L74" s="2387"/>
      <c r="M74" s="2386"/>
      <c r="N74" s="2386"/>
      <c r="O74" s="2387"/>
      <c r="P74" s="2386"/>
      <c r="Q74" s="2386"/>
      <c r="R74" s="2388"/>
    </row>
    <row r="75" spans="2:18" s="2362" customFormat="1">
      <c r="B75" s="2386"/>
      <c r="C75" s="2386"/>
      <c r="D75" s="2386"/>
      <c r="E75" s="2386"/>
      <c r="F75" s="2386"/>
      <c r="G75" s="2387"/>
      <c r="H75" s="2386"/>
      <c r="I75" s="2387"/>
      <c r="J75" s="2386"/>
      <c r="K75" s="2386"/>
      <c r="L75" s="2387"/>
      <c r="M75" s="2386"/>
      <c r="N75" s="2386"/>
      <c r="O75" s="2387"/>
      <c r="P75" s="2386"/>
      <c r="Q75" s="2386"/>
      <c r="R75" s="2388"/>
    </row>
    <row r="76" spans="2:18" s="2362" customFormat="1">
      <c r="B76" s="2386"/>
      <c r="C76" s="2386"/>
      <c r="D76" s="2386"/>
      <c r="E76" s="2386"/>
      <c r="F76" s="2386"/>
      <c r="G76" s="2387"/>
      <c r="H76" s="2386"/>
      <c r="I76" s="2387"/>
      <c r="J76" s="2386"/>
      <c r="K76" s="2386"/>
      <c r="L76" s="2387"/>
      <c r="M76" s="2386"/>
      <c r="N76" s="2386"/>
      <c r="O76" s="2387"/>
      <c r="P76" s="2386"/>
      <c r="Q76" s="2386"/>
      <c r="R76" s="2388"/>
    </row>
    <row r="77" spans="2:18" s="2362" customFormat="1">
      <c r="B77" s="2386"/>
      <c r="C77" s="2386"/>
      <c r="D77" s="2386"/>
      <c r="E77" s="2386"/>
      <c r="F77" s="2386"/>
      <c r="G77" s="2387"/>
      <c r="H77" s="2386"/>
      <c r="I77" s="2387"/>
      <c r="J77" s="2386"/>
      <c r="K77" s="2386"/>
      <c r="L77" s="2387"/>
      <c r="M77" s="2386"/>
      <c r="N77" s="2386"/>
      <c r="O77" s="2387"/>
      <c r="P77" s="2386"/>
      <c r="Q77" s="2386"/>
      <c r="R77" s="2388"/>
    </row>
    <row r="78" spans="2:18" s="2362" customFormat="1">
      <c r="B78" s="2386"/>
      <c r="C78" s="2386"/>
      <c r="D78" s="2386"/>
      <c r="E78" s="2386"/>
      <c r="F78" s="2386"/>
      <c r="G78" s="2387"/>
      <c r="H78" s="2386"/>
      <c r="I78" s="2387"/>
      <c r="J78" s="2386"/>
      <c r="K78" s="2386"/>
      <c r="L78" s="2387"/>
      <c r="M78" s="2386"/>
      <c r="N78" s="2386"/>
      <c r="O78" s="2387"/>
      <c r="P78" s="2386"/>
      <c r="Q78" s="2386"/>
      <c r="R78" s="2388"/>
    </row>
    <row r="79" spans="2:18" s="2362" customFormat="1">
      <c r="B79" s="2386"/>
      <c r="C79" s="2386"/>
      <c r="D79" s="2386"/>
      <c r="E79" s="2386"/>
      <c r="F79" s="2386"/>
      <c r="G79" s="2387"/>
      <c r="H79" s="2386"/>
      <c r="I79" s="2387"/>
      <c r="J79" s="2386"/>
      <c r="K79" s="2386"/>
      <c r="L79" s="2387"/>
      <c r="M79" s="2386"/>
      <c r="N79" s="2386"/>
      <c r="O79" s="2387"/>
      <c r="P79" s="2386"/>
      <c r="Q79" s="2386"/>
      <c r="R79" s="2388"/>
    </row>
    <row r="80" spans="2:18" s="2362" customFormat="1">
      <c r="B80" s="2386"/>
      <c r="C80" s="2386"/>
      <c r="D80" s="2386"/>
      <c r="E80" s="2386"/>
      <c r="F80" s="2386"/>
      <c r="G80" s="2387"/>
      <c r="H80" s="2386"/>
      <c r="I80" s="2387"/>
      <c r="J80" s="2386"/>
      <c r="K80" s="2386"/>
      <c r="L80" s="2387"/>
      <c r="M80" s="2386"/>
      <c r="N80" s="2386"/>
      <c r="O80" s="2387"/>
      <c r="P80" s="2386"/>
      <c r="Q80" s="2386"/>
      <c r="R80" s="2388"/>
    </row>
    <row r="81" spans="2:18" s="2362" customFormat="1">
      <c r="B81" s="2386"/>
      <c r="C81" s="2386"/>
      <c r="D81" s="2386"/>
      <c r="E81" s="2386"/>
      <c r="F81" s="2386"/>
      <c r="G81" s="2387"/>
      <c r="H81" s="2386"/>
      <c r="I81" s="2387"/>
      <c r="J81" s="2386"/>
      <c r="K81" s="2386"/>
      <c r="L81" s="2387"/>
      <c r="M81" s="2386"/>
      <c r="N81" s="2386"/>
      <c r="O81" s="2387"/>
      <c r="P81" s="2386"/>
      <c r="Q81" s="2386"/>
      <c r="R81" s="2388"/>
    </row>
    <row r="82" spans="2:18" s="2362" customFormat="1">
      <c r="B82" s="2386"/>
      <c r="C82" s="2386"/>
      <c r="D82" s="2386"/>
      <c r="E82" s="2386"/>
      <c r="F82" s="2386"/>
      <c r="G82" s="2387"/>
      <c r="H82" s="2386"/>
      <c r="I82" s="2387"/>
      <c r="J82" s="2386"/>
      <c r="K82" s="2386"/>
      <c r="L82" s="2387"/>
      <c r="M82" s="2386"/>
      <c r="N82" s="2386"/>
      <c r="O82" s="2387"/>
      <c r="P82" s="2386"/>
      <c r="Q82" s="2386"/>
      <c r="R82" s="2388"/>
    </row>
    <row r="83" spans="2:18" s="2362" customFormat="1">
      <c r="B83" s="2386"/>
      <c r="C83" s="2386"/>
      <c r="D83" s="2386"/>
      <c r="E83" s="2386"/>
      <c r="F83" s="2386"/>
      <c r="G83" s="2387"/>
      <c r="H83" s="2386"/>
      <c r="I83" s="2387"/>
      <c r="J83" s="2386"/>
      <c r="K83" s="2386"/>
      <c r="L83" s="2387"/>
      <c r="M83" s="2386"/>
      <c r="N83" s="2386"/>
      <c r="O83" s="2387"/>
      <c r="P83" s="2386"/>
      <c r="Q83" s="2386"/>
      <c r="R83" s="2388"/>
    </row>
    <row r="84" spans="2:18" s="2362" customFormat="1">
      <c r="B84" s="2386"/>
      <c r="C84" s="2386"/>
      <c r="D84" s="2386"/>
      <c r="E84" s="2386"/>
      <c r="F84" s="2386"/>
      <c r="G84" s="2387"/>
      <c r="H84" s="2386"/>
      <c r="I84" s="2387"/>
      <c r="J84" s="2386"/>
      <c r="K84" s="2386"/>
      <c r="L84" s="2387"/>
      <c r="M84" s="2386"/>
      <c r="N84" s="2386"/>
      <c r="O84" s="2387"/>
      <c r="P84" s="2386"/>
      <c r="Q84" s="2386"/>
      <c r="R84" s="2388"/>
    </row>
    <row r="85" spans="2:18" s="2362" customFormat="1">
      <c r="B85" s="2386"/>
      <c r="C85" s="2386"/>
      <c r="D85" s="2386"/>
      <c r="E85" s="2386"/>
      <c r="F85" s="2386"/>
      <c r="G85" s="2387"/>
      <c r="H85" s="2386"/>
      <c r="I85" s="2387"/>
      <c r="J85" s="2386"/>
      <c r="K85" s="2386"/>
      <c r="L85" s="2387"/>
      <c r="M85" s="2386"/>
      <c r="N85" s="2386"/>
      <c r="O85" s="2387"/>
      <c r="P85" s="2386"/>
      <c r="Q85" s="2386"/>
      <c r="R85" s="2388"/>
    </row>
    <row r="86" spans="2:18" s="2362" customFormat="1">
      <c r="B86" s="2386"/>
      <c r="C86" s="2386"/>
      <c r="D86" s="2386"/>
      <c r="E86" s="2386"/>
      <c r="F86" s="2386"/>
      <c r="G86" s="2387"/>
      <c r="H86" s="2386"/>
      <c r="I86" s="2387"/>
      <c r="J86" s="2386"/>
      <c r="K86" s="2386"/>
      <c r="L86" s="2387"/>
      <c r="M86" s="2386"/>
      <c r="N86" s="2386"/>
      <c r="O86" s="2387"/>
      <c r="P86" s="2386"/>
      <c r="Q86" s="2386"/>
      <c r="R86" s="2388"/>
    </row>
    <row r="87" spans="2:18" s="2362" customFormat="1">
      <c r="B87" s="2386"/>
      <c r="C87" s="2386"/>
      <c r="D87" s="2386"/>
      <c r="E87" s="2386"/>
      <c r="F87" s="2386"/>
      <c r="G87" s="2387"/>
      <c r="H87" s="2386"/>
      <c r="I87" s="2387"/>
      <c r="J87" s="2386"/>
      <c r="K87" s="2386"/>
      <c r="L87" s="2387"/>
      <c r="M87" s="2386"/>
      <c r="N87" s="2386"/>
      <c r="O87" s="2387"/>
      <c r="P87" s="2386"/>
      <c r="Q87" s="2386"/>
      <c r="R87" s="2388"/>
    </row>
    <row r="88" spans="2:18" s="2362" customFormat="1">
      <c r="B88" s="2386"/>
      <c r="C88" s="2386"/>
      <c r="D88" s="2386"/>
      <c r="E88" s="2386"/>
      <c r="F88" s="2386"/>
      <c r="G88" s="2387"/>
      <c r="H88" s="2386"/>
      <c r="I88" s="2387"/>
      <c r="J88" s="2386"/>
      <c r="K88" s="2386"/>
      <c r="L88" s="2387"/>
      <c r="M88" s="2386"/>
      <c r="N88" s="2386"/>
      <c r="O88" s="2387"/>
      <c r="P88" s="2386"/>
      <c r="Q88" s="2386"/>
      <c r="R88" s="2388"/>
    </row>
    <row r="89" spans="2:18" s="2362" customFormat="1">
      <c r="B89" s="2386"/>
      <c r="C89" s="2386"/>
      <c r="D89" s="2386"/>
      <c r="E89" s="2386"/>
      <c r="F89" s="2386"/>
      <c r="G89" s="2387"/>
      <c r="H89" s="2386"/>
      <c r="I89" s="2387"/>
      <c r="J89" s="2386"/>
      <c r="K89" s="2386"/>
      <c r="L89" s="2387"/>
      <c r="M89" s="2386"/>
      <c r="N89" s="2386"/>
      <c r="O89" s="2387"/>
      <c r="P89" s="2386"/>
      <c r="Q89" s="2386"/>
      <c r="R89" s="2388"/>
    </row>
    <row r="90" spans="2:18" s="2362" customFormat="1">
      <c r="B90" s="2386"/>
      <c r="C90" s="2386"/>
      <c r="D90" s="2386"/>
      <c r="E90" s="2386"/>
      <c r="F90" s="2386"/>
      <c r="G90" s="2387"/>
      <c r="H90" s="2386"/>
      <c r="I90" s="2387"/>
      <c r="J90" s="2386"/>
      <c r="K90" s="2386"/>
      <c r="L90" s="2387"/>
      <c r="M90" s="2386"/>
      <c r="N90" s="2386"/>
      <c r="O90" s="2387"/>
      <c r="P90" s="2386"/>
      <c r="Q90" s="2386"/>
      <c r="R90" s="2388"/>
    </row>
    <row r="91" spans="2:18" s="2362" customFormat="1">
      <c r="B91" s="2386"/>
      <c r="C91" s="2386"/>
      <c r="D91" s="2386"/>
      <c r="E91" s="2386"/>
      <c r="F91" s="2386"/>
      <c r="G91" s="2387"/>
      <c r="H91" s="2386"/>
      <c r="I91" s="2387"/>
      <c r="J91" s="2386"/>
      <c r="K91" s="2386"/>
      <c r="L91" s="2387"/>
      <c r="M91" s="2386"/>
      <c r="N91" s="2386"/>
      <c r="O91" s="2387"/>
      <c r="P91" s="2386"/>
      <c r="Q91" s="2386"/>
      <c r="R91" s="2388"/>
    </row>
    <row r="92" spans="2:18" s="2362" customFormat="1">
      <c r="B92" s="2386"/>
      <c r="C92" s="2386"/>
      <c r="D92" s="2386"/>
      <c r="E92" s="2386"/>
      <c r="F92" s="2386"/>
      <c r="G92" s="2387"/>
      <c r="H92" s="2386"/>
      <c r="I92" s="2387"/>
      <c r="J92" s="2386"/>
      <c r="K92" s="2386"/>
      <c r="L92" s="2387"/>
      <c r="M92" s="2386"/>
      <c r="N92" s="2386"/>
      <c r="O92" s="2387"/>
      <c r="P92" s="2386"/>
      <c r="Q92" s="2386"/>
      <c r="R92" s="2388"/>
    </row>
    <row r="93" spans="2:18" s="2362" customFormat="1">
      <c r="B93" s="2386"/>
      <c r="C93" s="2386"/>
      <c r="D93" s="2386"/>
      <c r="E93" s="2386"/>
      <c r="F93" s="2386"/>
      <c r="G93" s="2387"/>
      <c r="H93" s="2386"/>
      <c r="I93" s="2387"/>
      <c r="J93" s="2386"/>
      <c r="K93" s="2386"/>
      <c r="L93" s="2387"/>
      <c r="M93" s="2386"/>
      <c r="N93" s="2386"/>
      <c r="O93" s="2387"/>
      <c r="P93" s="2386"/>
      <c r="Q93" s="2386"/>
      <c r="R93" s="2388"/>
    </row>
    <row r="94" spans="2:18" s="2362" customFormat="1">
      <c r="B94" s="2386"/>
      <c r="C94" s="2386"/>
      <c r="D94" s="2386"/>
      <c r="E94" s="2386"/>
      <c r="F94" s="2386"/>
      <c r="G94" s="2387"/>
      <c r="H94" s="2386"/>
      <c r="I94" s="2387"/>
      <c r="J94" s="2386"/>
      <c r="K94" s="2386"/>
      <c r="L94" s="2387"/>
      <c r="M94" s="2386"/>
      <c r="N94" s="2386"/>
      <c r="O94" s="2387"/>
      <c r="P94" s="2386"/>
      <c r="Q94" s="2386"/>
      <c r="R94" s="2388"/>
    </row>
    <row r="95" spans="2:18" s="2362" customFormat="1">
      <c r="B95" s="2386"/>
      <c r="C95" s="2386"/>
      <c r="D95" s="2386"/>
      <c r="E95" s="2386"/>
      <c r="F95" s="2386"/>
      <c r="G95" s="2387"/>
      <c r="H95" s="2386"/>
      <c r="I95" s="2387"/>
      <c r="J95" s="2386"/>
      <c r="K95" s="2386"/>
      <c r="L95" s="2387"/>
      <c r="M95" s="2386"/>
      <c r="N95" s="2386"/>
      <c r="O95" s="2387"/>
      <c r="P95" s="2386"/>
      <c r="Q95" s="2386"/>
      <c r="R95" s="2388"/>
    </row>
    <row r="96" spans="2:18" s="2362" customFormat="1">
      <c r="B96" s="2386"/>
      <c r="C96" s="2386"/>
      <c r="D96" s="2386"/>
      <c r="E96" s="2386"/>
      <c r="F96" s="2386"/>
      <c r="G96" s="2387"/>
      <c r="H96" s="2386"/>
      <c r="I96" s="2387"/>
      <c r="J96" s="2386"/>
      <c r="K96" s="2386"/>
      <c r="L96" s="2387"/>
      <c r="M96" s="2386"/>
      <c r="N96" s="2386"/>
      <c r="O96" s="2387"/>
      <c r="P96" s="2386"/>
      <c r="Q96" s="2386"/>
      <c r="R96" s="2388"/>
    </row>
    <row r="97" spans="2:18" s="2362" customFormat="1">
      <c r="B97" s="2386"/>
      <c r="C97" s="2386"/>
      <c r="D97" s="2386"/>
      <c r="E97" s="2386"/>
      <c r="F97" s="2386"/>
      <c r="G97" s="2387"/>
      <c r="H97" s="2386"/>
      <c r="I97" s="2387"/>
      <c r="J97" s="2386"/>
      <c r="K97" s="2386"/>
      <c r="L97" s="2387"/>
      <c r="M97" s="2386"/>
      <c r="N97" s="2386"/>
      <c r="O97" s="2387"/>
      <c r="P97" s="2386"/>
      <c r="Q97" s="2386"/>
      <c r="R97" s="2388"/>
    </row>
    <row r="98" spans="2:18" s="2362" customFormat="1">
      <c r="B98" s="2386"/>
      <c r="C98" s="2386"/>
      <c r="D98" s="2386"/>
      <c r="E98" s="2386"/>
      <c r="F98" s="2386"/>
      <c r="G98" s="2387"/>
      <c r="H98" s="2386"/>
      <c r="I98" s="2387"/>
      <c r="J98" s="2386"/>
      <c r="K98" s="2386"/>
      <c r="L98" s="2387"/>
      <c r="M98" s="2386"/>
      <c r="N98" s="2386"/>
      <c r="O98" s="2387"/>
      <c r="P98" s="2386"/>
      <c r="Q98" s="2386"/>
      <c r="R98" s="2388"/>
    </row>
    <row r="99" spans="2:18" s="2362" customFormat="1">
      <c r="B99" s="2386"/>
      <c r="C99" s="2386"/>
      <c r="D99" s="2386"/>
      <c r="E99" s="2386"/>
      <c r="F99" s="2386"/>
      <c r="G99" s="2387"/>
      <c r="H99" s="2386"/>
      <c r="I99" s="2387"/>
      <c r="J99" s="2386"/>
      <c r="K99" s="2386"/>
      <c r="L99" s="2387"/>
      <c r="M99" s="2386"/>
      <c r="N99" s="2386"/>
      <c r="O99" s="2387"/>
      <c r="P99" s="2386"/>
      <c r="Q99" s="2386"/>
      <c r="R99" s="2388"/>
    </row>
    <row r="100" spans="2:18" s="2362" customFormat="1">
      <c r="B100" s="2386"/>
      <c r="C100" s="2386"/>
      <c r="D100" s="2386"/>
      <c r="E100" s="2386"/>
      <c r="F100" s="2386"/>
      <c r="G100" s="2387"/>
      <c r="H100" s="2386"/>
      <c r="I100" s="2387"/>
      <c r="J100" s="2386"/>
      <c r="K100" s="2386"/>
      <c r="L100" s="2387"/>
      <c r="M100" s="2386"/>
      <c r="N100" s="2386"/>
      <c r="O100" s="2387"/>
      <c r="P100" s="2386"/>
      <c r="Q100" s="2386"/>
      <c r="R100" s="2388"/>
    </row>
    <row r="101" spans="2:18" s="2362" customFormat="1">
      <c r="B101" s="2386"/>
      <c r="C101" s="2386"/>
      <c r="D101" s="2386"/>
      <c r="E101" s="2386"/>
      <c r="F101" s="2386"/>
      <c r="G101" s="2387"/>
      <c r="H101" s="2386"/>
      <c r="I101" s="2387"/>
      <c r="J101" s="2386"/>
      <c r="K101" s="2386"/>
      <c r="L101" s="2387"/>
      <c r="M101" s="2386"/>
      <c r="N101" s="2386"/>
      <c r="O101" s="2387"/>
      <c r="P101" s="2386"/>
      <c r="Q101" s="2386"/>
      <c r="R101" s="2388"/>
    </row>
    <row r="102" spans="2:18" s="2362" customFormat="1">
      <c r="B102" s="2386"/>
      <c r="C102" s="2386"/>
      <c r="D102" s="2386"/>
      <c r="E102" s="2386"/>
      <c r="F102" s="2386"/>
      <c r="G102" s="2387"/>
      <c r="H102" s="2386"/>
      <c r="I102" s="2387"/>
      <c r="J102" s="2386"/>
      <c r="K102" s="2386"/>
      <c r="L102" s="2387"/>
      <c r="M102" s="2386"/>
      <c r="N102" s="2386"/>
      <c r="O102" s="2387"/>
      <c r="P102" s="2386"/>
      <c r="Q102" s="2386"/>
      <c r="R102" s="2388"/>
    </row>
    <row r="103" spans="2:18" s="2362" customFormat="1">
      <c r="B103" s="2386"/>
      <c r="C103" s="2386"/>
      <c r="D103" s="2386"/>
      <c r="E103" s="2386"/>
      <c r="F103" s="2386"/>
      <c r="G103" s="2387"/>
      <c r="H103" s="2386"/>
      <c r="I103" s="2387"/>
      <c r="J103" s="2386"/>
      <c r="K103" s="2386"/>
      <c r="L103" s="2387"/>
      <c r="M103" s="2386"/>
      <c r="N103" s="2386"/>
      <c r="O103" s="2387"/>
      <c r="P103" s="2386"/>
      <c r="Q103" s="2386"/>
      <c r="R103" s="2388"/>
    </row>
    <row r="104" spans="2:18" s="2362" customFormat="1">
      <c r="B104" s="2386"/>
      <c r="C104" s="2386"/>
      <c r="D104" s="2386"/>
      <c r="E104" s="2386"/>
      <c r="F104" s="2386"/>
      <c r="G104" s="2387"/>
      <c r="H104" s="2386"/>
      <c r="I104" s="2387"/>
      <c r="J104" s="2386"/>
      <c r="K104" s="2386"/>
      <c r="L104" s="2387"/>
      <c r="M104" s="2386"/>
      <c r="N104" s="2386"/>
      <c r="O104" s="2387"/>
      <c r="P104" s="2386"/>
      <c r="Q104" s="2386"/>
      <c r="R104" s="2388"/>
    </row>
    <row r="105" spans="2:18" s="2362" customFormat="1">
      <c r="B105" s="2386"/>
      <c r="C105" s="2386"/>
      <c r="D105" s="2386"/>
      <c r="E105" s="2386"/>
      <c r="F105" s="2386"/>
      <c r="G105" s="2387"/>
      <c r="H105" s="2386"/>
      <c r="I105" s="2387"/>
      <c r="J105" s="2386"/>
      <c r="K105" s="2386"/>
      <c r="L105" s="2387"/>
      <c r="M105" s="2386"/>
      <c r="N105" s="2386"/>
      <c r="O105" s="2387"/>
      <c r="P105" s="2386"/>
      <c r="Q105" s="2386"/>
      <c r="R105" s="2388"/>
    </row>
    <row r="106" spans="2:18" s="2362" customFormat="1">
      <c r="B106" s="2386"/>
      <c r="C106" s="2386"/>
      <c r="D106" s="2386"/>
      <c r="E106" s="2386"/>
      <c r="F106" s="2386"/>
      <c r="G106" s="2387"/>
      <c r="H106" s="2386"/>
      <c r="I106" s="2387"/>
      <c r="J106" s="2386"/>
      <c r="K106" s="2386"/>
      <c r="L106" s="2387"/>
      <c r="M106" s="2386"/>
      <c r="N106" s="2386"/>
      <c r="O106" s="2387"/>
      <c r="P106" s="2386"/>
      <c r="Q106" s="2386"/>
      <c r="R106" s="2388"/>
    </row>
    <row r="107" spans="2:18" s="2362" customFormat="1">
      <c r="B107" s="2386"/>
      <c r="C107" s="2386"/>
      <c r="D107" s="2386"/>
      <c r="E107" s="2386"/>
      <c r="F107" s="2386"/>
      <c r="G107" s="2387"/>
      <c r="H107" s="2386"/>
      <c r="I107" s="2387"/>
      <c r="J107" s="2386"/>
      <c r="K107" s="2386"/>
      <c r="L107" s="2387"/>
      <c r="M107" s="2386"/>
      <c r="N107" s="2386"/>
      <c r="O107" s="2387"/>
      <c r="P107" s="2386"/>
      <c r="Q107" s="2386"/>
      <c r="R107" s="2388"/>
    </row>
    <row r="108" spans="2:18" s="2362" customFormat="1">
      <c r="B108" s="2386"/>
      <c r="C108" s="2386"/>
      <c r="D108" s="2386"/>
      <c r="E108" s="2386"/>
      <c r="F108" s="2386"/>
      <c r="G108" s="2387"/>
      <c r="H108" s="2386"/>
      <c r="I108" s="2387"/>
      <c r="J108" s="2386"/>
      <c r="K108" s="2386"/>
      <c r="L108" s="2387"/>
      <c r="M108" s="2386"/>
      <c r="N108" s="2386"/>
      <c r="O108" s="2387"/>
      <c r="P108" s="2386"/>
      <c r="Q108" s="2386"/>
      <c r="R108" s="2388"/>
    </row>
    <row r="109" spans="2:18" s="2362" customFormat="1">
      <c r="B109" s="2386"/>
      <c r="C109" s="2386"/>
      <c r="D109" s="2386"/>
      <c r="E109" s="2386"/>
      <c r="F109" s="2386"/>
      <c r="G109" s="2387"/>
      <c r="H109" s="2386"/>
      <c r="I109" s="2387"/>
      <c r="J109" s="2386"/>
      <c r="K109" s="2386"/>
      <c r="L109" s="2387"/>
      <c r="M109" s="2386"/>
      <c r="N109" s="2386"/>
      <c r="O109" s="2387"/>
      <c r="P109" s="2386"/>
      <c r="Q109" s="2386"/>
      <c r="R109" s="2388"/>
    </row>
    <row r="110" spans="2:18" s="2362" customFormat="1">
      <c r="B110" s="2386"/>
      <c r="C110" s="2386"/>
      <c r="D110" s="2386"/>
      <c r="E110" s="2386"/>
      <c r="F110" s="2386"/>
      <c r="G110" s="2387"/>
      <c r="H110" s="2386"/>
      <c r="I110" s="2387"/>
      <c r="J110" s="2386"/>
      <c r="K110" s="2386"/>
      <c r="L110" s="2387"/>
      <c r="M110" s="2386"/>
      <c r="N110" s="2386"/>
      <c r="O110" s="2387"/>
      <c r="P110" s="2386"/>
      <c r="Q110" s="2386"/>
      <c r="R110" s="2388"/>
    </row>
    <row r="111" spans="2:18" s="2362" customFormat="1">
      <c r="B111" s="2386"/>
      <c r="C111" s="2386"/>
      <c r="D111" s="2386"/>
      <c r="E111" s="2386"/>
      <c r="F111" s="2386"/>
      <c r="G111" s="2387"/>
      <c r="H111" s="2386"/>
      <c r="I111" s="2387"/>
      <c r="J111" s="2386"/>
      <c r="K111" s="2386"/>
      <c r="L111" s="2387"/>
      <c r="M111" s="2386"/>
      <c r="N111" s="2386"/>
      <c r="O111" s="2387"/>
      <c r="P111" s="2386"/>
      <c r="Q111" s="2386"/>
      <c r="R111" s="2388"/>
    </row>
    <row r="112" spans="2:18" s="2362" customFormat="1">
      <c r="B112" s="2386"/>
      <c r="C112" s="2386"/>
      <c r="D112" s="2386"/>
      <c r="E112" s="2386"/>
      <c r="F112" s="2386"/>
      <c r="G112" s="2387"/>
      <c r="H112" s="2386"/>
      <c r="I112" s="2387"/>
      <c r="J112" s="2386"/>
      <c r="K112" s="2386"/>
      <c r="L112" s="2387"/>
      <c r="M112" s="2386"/>
      <c r="N112" s="2386"/>
      <c r="O112" s="2387"/>
      <c r="P112" s="2386"/>
      <c r="Q112" s="2386"/>
      <c r="R112" s="2388"/>
    </row>
    <row r="113" spans="2:18" s="2362" customFormat="1">
      <c r="B113" s="2386"/>
      <c r="C113" s="2386"/>
      <c r="D113" s="2386"/>
      <c r="E113" s="2386"/>
      <c r="F113" s="2386"/>
      <c r="G113" s="2387"/>
      <c r="H113" s="2386"/>
      <c r="I113" s="2387"/>
      <c r="J113" s="2386"/>
      <c r="K113" s="2386"/>
      <c r="L113" s="2387"/>
      <c r="M113" s="2386"/>
      <c r="N113" s="2386"/>
      <c r="O113" s="2387"/>
      <c r="P113" s="2386"/>
      <c r="Q113" s="2386"/>
      <c r="R113" s="2388"/>
    </row>
    <row r="114" spans="2:18" s="2362" customFormat="1">
      <c r="B114" s="2386"/>
      <c r="C114" s="2386"/>
      <c r="D114" s="2386"/>
      <c r="E114" s="2386"/>
      <c r="F114" s="2386"/>
      <c r="G114" s="2387"/>
      <c r="H114" s="2386"/>
      <c r="I114" s="2387"/>
      <c r="J114" s="2386"/>
      <c r="K114" s="2386"/>
      <c r="L114" s="2387"/>
      <c r="M114" s="2386"/>
      <c r="N114" s="2386"/>
      <c r="O114" s="2387"/>
      <c r="P114" s="2386"/>
      <c r="Q114" s="2386"/>
      <c r="R114" s="2388"/>
    </row>
    <row r="115" spans="2:18" s="2362" customFormat="1">
      <c r="B115" s="2386"/>
      <c r="C115" s="2386"/>
      <c r="D115" s="2386"/>
      <c r="E115" s="2386"/>
      <c r="F115" s="2386"/>
      <c r="G115" s="2387"/>
      <c r="H115" s="2386"/>
      <c r="I115" s="2387"/>
      <c r="J115" s="2386"/>
      <c r="K115" s="2386"/>
      <c r="L115" s="2387"/>
      <c r="M115" s="2386"/>
      <c r="N115" s="2386"/>
      <c r="O115" s="2387"/>
      <c r="P115" s="2386"/>
      <c r="Q115" s="2386"/>
      <c r="R115" s="2388"/>
    </row>
    <row r="116" spans="2:18" s="2362" customFormat="1">
      <c r="B116" s="2386"/>
      <c r="C116" s="2386"/>
      <c r="D116" s="2386"/>
      <c r="E116" s="2386"/>
      <c r="F116" s="2386"/>
      <c r="G116" s="2387"/>
      <c r="H116" s="2386"/>
      <c r="I116" s="2387"/>
      <c r="J116" s="2386"/>
      <c r="K116" s="2386"/>
      <c r="L116" s="2387"/>
      <c r="M116" s="2386"/>
      <c r="N116" s="2386"/>
      <c r="O116" s="2387"/>
      <c r="P116" s="2386"/>
      <c r="Q116" s="2386"/>
      <c r="R116" s="2388"/>
    </row>
    <row r="117" spans="2:18" s="2362" customFormat="1">
      <c r="B117" s="2386"/>
      <c r="C117" s="2386"/>
      <c r="D117" s="2386"/>
      <c r="E117" s="2386"/>
      <c r="F117" s="2386"/>
      <c r="G117" s="2387"/>
      <c r="H117" s="2386"/>
      <c r="I117" s="2387"/>
      <c r="J117" s="2386"/>
      <c r="K117" s="2386"/>
      <c r="L117" s="2387"/>
      <c r="M117" s="2386"/>
      <c r="N117" s="2386"/>
      <c r="O117" s="2387"/>
      <c r="P117" s="2386"/>
      <c r="Q117" s="2386"/>
      <c r="R117" s="2388"/>
    </row>
    <row r="118" spans="2:18" s="2362" customFormat="1">
      <c r="B118" s="2386"/>
      <c r="C118" s="2386"/>
      <c r="D118" s="2386"/>
      <c r="E118" s="2386"/>
      <c r="F118" s="2386"/>
      <c r="G118" s="2387"/>
      <c r="H118" s="2386"/>
      <c r="I118" s="2387"/>
      <c r="J118" s="2386"/>
      <c r="K118" s="2386"/>
      <c r="L118" s="2387"/>
      <c r="M118" s="2386"/>
      <c r="N118" s="2386"/>
      <c r="O118" s="2387"/>
      <c r="P118" s="2386"/>
      <c r="Q118" s="2386"/>
      <c r="R118" s="2388"/>
    </row>
    <row r="119" spans="2:18" s="2362" customFormat="1">
      <c r="B119" s="2386"/>
      <c r="C119" s="2386"/>
      <c r="D119" s="2386"/>
      <c r="E119" s="2386"/>
      <c r="F119" s="2386"/>
      <c r="G119" s="2387"/>
      <c r="H119" s="2386"/>
      <c r="I119" s="2387"/>
      <c r="J119" s="2386"/>
      <c r="K119" s="2386"/>
      <c r="L119" s="2387"/>
      <c r="M119" s="2386"/>
      <c r="N119" s="2386"/>
      <c r="O119" s="2387"/>
      <c r="P119" s="2386"/>
      <c r="Q119" s="2386"/>
      <c r="R119" s="2388"/>
    </row>
    <row r="120" spans="2:18" s="2362" customFormat="1">
      <c r="B120" s="2386"/>
      <c r="C120" s="2386"/>
      <c r="D120" s="2386"/>
      <c r="E120" s="2386"/>
      <c r="F120" s="2386"/>
      <c r="G120" s="2387"/>
      <c r="H120" s="2386"/>
      <c r="I120" s="2387"/>
      <c r="J120" s="2386"/>
      <c r="K120" s="2386"/>
      <c r="L120" s="2387"/>
      <c r="M120" s="2386"/>
      <c r="N120" s="2386"/>
      <c r="O120" s="2387"/>
      <c r="P120" s="2386"/>
      <c r="Q120" s="2386"/>
      <c r="R120" s="2388"/>
    </row>
    <row r="121" spans="2:18" s="2362" customFormat="1">
      <c r="B121" s="2386"/>
      <c r="C121" s="2386"/>
      <c r="D121" s="2386"/>
      <c r="E121" s="2386"/>
      <c r="F121" s="2386"/>
      <c r="G121" s="2387"/>
      <c r="H121" s="2386"/>
      <c r="I121" s="2387"/>
      <c r="J121" s="2386"/>
      <c r="K121" s="2386"/>
      <c r="L121" s="2387"/>
      <c r="M121" s="2386"/>
      <c r="N121" s="2386"/>
      <c r="O121" s="2387"/>
      <c r="P121" s="2386"/>
      <c r="Q121" s="2386"/>
      <c r="R121" s="2388"/>
    </row>
    <row r="122" spans="2:18" s="2362" customFormat="1">
      <c r="B122" s="2386"/>
      <c r="C122" s="2386"/>
      <c r="D122" s="2386"/>
      <c r="E122" s="2386"/>
      <c r="F122" s="2386"/>
      <c r="G122" s="2387"/>
      <c r="H122" s="2386"/>
      <c r="I122" s="2387"/>
      <c r="J122" s="2386"/>
      <c r="K122" s="2386"/>
      <c r="L122" s="2387"/>
      <c r="M122" s="2386"/>
      <c r="N122" s="2386"/>
      <c r="O122" s="2387"/>
      <c r="P122" s="2386"/>
      <c r="Q122" s="2386"/>
      <c r="R122" s="2388"/>
    </row>
    <row r="123" spans="2:18" s="2362" customFormat="1">
      <c r="B123" s="2386"/>
      <c r="C123" s="2386"/>
      <c r="D123" s="2386"/>
      <c r="E123" s="2386"/>
      <c r="F123" s="2386"/>
      <c r="G123" s="2387"/>
      <c r="H123" s="2386"/>
      <c r="I123" s="2387"/>
      <c r="J123" s="2386"/>
      <c r="K123" s="2386"/>
      <c r="L123" s="2387"/>
      <c r="M123" s="2386"/>
      <c r="N123" s="2386"/>
      <c r="O123" s="2387"/>
      <c r="P123" s="2386"/>
      <c r="Q123" s="2386"/>
      <c r="R123" s="2388"/>
    </row>
    <row r="124" spans="2:18" s="2362" customFormat="1">
      <c r="B124" s="2386"/>
      <c r="C124" s="2386"/>
      <c r="D124" s="2386"/>
      <c r="E124" s="2386"/>
      <c r="F124" s="2386"/>
      <c r="G124" s="2387"/>
      <c r="H124" s="2386"/>
      <c r="I124" s="2387"/>
      <c r="J124" s="2386"/>
      <c r="K124" s="2386"/>
      <c r="L124" s="2387"/>
      <c r="M124" s="2386"/>
      <c r="N124" s="2386"/>
      <c r="O124" s="2387"/>
      <c r="P124" s="2386"/>
      <c r="Q124" s="2386"/>
      <c r="R124" s="2388"/>
    </row>
    <row r="125" spans="2:18" s="2362" customFormat="1">
      <c r="B125" s="2386"/>
      <c r="C125" s="2386"/>
      <c r="D125" s="2386"/>
      <c r="E125" s="2386"/>
      <c r="F125" s="2386"/>
      <c r="G125" s="2387"/>
      <c r="H125" s="2386"/>
      <c r="I125" s="2387"/>
      <c r="J125" s="2386"/>
      <c r="K125" s="2386"/>
      <c r="L125" s="2387"/>
      <c r="M125" s="2386"/>
      <c r="N125" s="2386"/>
      <c r="O125" s="2387"/>
      <c r="P125" s="2386"/>
      <c r="Q125" s="2386"/>
      <c r="R125" s="2388"/>
    </row>
    <row r="126" spans="2:18" s="2362" customFormat="1">
      <c r="B126" s="2386"/>
      <c r="C126" s="2386"/>
      <c r="D126" s="2386"/>
      <c r="E126" s="2386"/>
      <c r="F126" s="2386"/>
      <c r="G126" s="2387"/>
      <c r="H126" s="2386"/>
      <c r="I126" s="2387"/>
      <c r="J126" s="2386"/>
      <c r="K126" s="2386"/>
      <c r="L126" s="2387"/>
      <c r="M126" s="2386"/>
      <c r="N126" s="2386"/>
      <c r="O126" s="2387"/>
      <c r="P126" s="2386"/>
      <c r="Q126" s="2386"/>
      <c r="R126" s="2388"/>
    </row>
    <row r="127" spans="2:18" s="2362" customFormat="1">
      <c r="B127" s="2386"/>
      <c r="C127" s="2386"/>
      <c r="D127" s="2386"/>
      <c r="E127" s="2386"/>
      <c r="F127" s="2386"/>
      <c r="G127" s="2387"/>
      <c r="H127" s="2386"/>
      <c r="I127" s="2387"/>
      <c r="J127" s="2386"/>
      <c r="K127" s="2386"/>
      <c r="L127" s="2387"/>
      <c r="M127" s="2386"/>
      <c r="N127" s="2386"/>
      <c r="O127" s="2387"/>
      <c r="P127" s="2386"/>
      <c r="Q127" s="2386"/>
      <c r="R127" s="2388"/>
    </row>
    <row r="128" spans="2:18" s="2362" customFormat="1">
      <c r="B128" s="2386"/>
      <c r="C128" s="2386"/>
      <c r="D128" s="2386"/>
      <c r="E128" s="2386"/>
      <c r="F128" s="2386"/>
      <c r="G128" s="2387"/>
      <c r="H128" s="2386"/>
      <c r="I128" s="2387"/>
      <c r="J128" s="2386"/>
      <c r="K128" s="2386"/>
      <c r="L128" s="2387"/>
      <c r="M128" s="2386"/>
      <c r="N128" s="2386"/>
      <c r="O128" s="2387"/>
      <c r="P128" s="2386"/>
      <c r="Q128" s="2386"/>
      <c r="R128" s="2388"/>
    </row>
    <row r="129" spans="2:18" s="2362" customFormat="1">
      <c r="B129" s="2386"/>
      <c r="C129" s="2386"/>
      <c r="D129" s="2386"/>
      <c r="E129" s="2386"/>
      <c r="F129" s="2386"/>
      <c r="G129" s="2387"/>
      <c r="H129" s="2386"/>
      <c r="I129" s="2387"/>
      <c r="J129" s="2386"/>
      <c r="K129" s="2386"/>
      <c r="L129" s="2387"/>
      <c r="M129" s="2386"/>
      <c r="N129" s="2386"/>
      <c r="O129" s="2387"/>
      <c r="P129" s="2386"/>
      <c r="Q129" s="2386"/>
      <c r="R129" s="2388"/>
    </row>
    <row r="130" spans="2:18" s="2362" customFormat="1">
      <c r="B130" s="2386"/>
      <c r="C130" s="2386"/>
      <c r="D130" s="2386"/>
      <c r="E130" s="2386"/>
      <c r="F130" s="2386"/>
      <c r="G130" s="2387"/>
      <c r="H130" s="2386"/>
      <c r="I130" s="2387"/>
      <c r="J130" s="2386"/>
      <c r="K130" s="2386"/>
      <c r="L130" s="2387"/>
      <c r="M130" s="2386"/>
      <c r="N130" s="2386"/>
      <c r="O130" s="2387"/>
      <c r="P130" s="2386"/>
      <c r="Q130" s="2386"/>
      <c r="R130" s="2388"/>
    </row>
    <row r="131" spans="2:18" s="2362" customFormat="1">
      <c r="B131" s="2386"/>
      <c r="C131" s="2386"/>
      <c r="D131" s="2386"/>
      <c r="E131" s="2386"/>
      <c r="F131" s="2386"/>
      <c r="G131" s="2387"/>
      <c r="H131" s="2386"/>
      <c r="I131" s="2387"/>
      <c r="J131" s="2386"/>
      <c r="K131" s="2386"/>
      <c r="L131" s="2387"/>
      <c r="M131" s="2386"/>
      <c r="N131" s="2386"/>
      <c r="O131" s="2387"/>
      <c r="P131" s="2386"/>
      <c r="Q131" s="2386"/>
      <c r="R131" s="2388"/>
    </row>
    <row r="132" spans="2:18" s="2362" customFormat="1">
      <c r="B132" s="2386"/>
      <c r="C132" s="2386"/>
      <c r="D132" s="2386"/>
      <c r="E132" s="2386"/>
      <c r="F132" s="2386"/>
      <c r="G132" s="2387"/>
      <c r="H132" s="2386"/>
      <c r="I132" s="2387"/>
      <c r="J132" s="2386"/>
      <c r="K132" s="2386"/>
      <c r="L132" s="2387"/>
      <c r="M132" s="2386"/>
      <c r="N132" s="2386"/>
      <c r="O132" s="2387"/>
      <c r="P132" s="2386"/>
      <c r="Q132" s="2386"/>
      <c r="R132" s="2388"/>
    </row>
    <row r="133" spans="2:18" s="2362" customFormat="1">
      <c r="B133" s="2386"/>
      <c r="C133" s="2386"/>
      <c r="D133" s="2386"/>
      <c r="E133" s="2386"/>
      <c r="F133" s="2386"/>
      <c r="G133" s="2387"/>
      <c r="H133" s="2386"/>
      <c r="I133" s="2387"/>
      <c r="J133" s="2386"/>
      <c r="K133" s="2386"/>
      <c r="L133" s="2387"/>
      <c r="M133" s="2386"/>
      <c r="N133" s="2386"/>
      <c r="O133" s="2387"/>
      <c r="P133" s="2386"/>
      <c r="Q133" s="2386"/>
      <c r="R133" s="2388"/>
    </row>
    <row r="134" spans="2:18" s="2362" customFormat="1">
      <c r="B134" s="2386"/>
      <c r="C134" s="2386"/>
      <c r="D134" s="2386"/>
      <c r="E134" s="2386"/>
      <c r="F134" s="2386"/>
      <c r="G134" s="2387"/>
      <c r="H134" s="2386"/>
      <c r="I134" s="2387"/>
      <c r="J134" s="2386"/>
      <c r="K134" s="2386"/>
      <c r="L134" s="2387"/>
      <c r="M134" s="2386"/>
      <c r="N134" s="2386"/>
      <c r="O134" s="2387"/>
      <c r="P134" s="2386"/>
      <c r="Q134" s="2386"/>
      <c r="R134" s="2388"/>
    </row>
    <row r="135" spans="2:18" s="2362" customFormat="1">
      <c r="B135" s="2386"/>
      <c r="C135" s="2386"/>
      <c r="D135" s="2386"/>
      <c r="E135" s="2386"/>
      <c r="F135" s="2386"/>
      <c r="G135" s="2387"/>
      <c r="H135" s="2386"/>
      <c r="I135" s="2387"/>
      <c r="J135" s="2386"/>
      <c r="K135" s="2386"/>
      <c r="L135" s="2387"/>
      <c r="M135" s="2386"/>
      <c r="N135" s="2386"/>
      <c r="O135" s="2387"/>
      <c r="P135" s="2386"/>
      <c r="Q135" s="2386"/>
      <c r="R135" s="2388"/>
    </row>
    <row r="136" spans="2:18" s="2362" customFormat="1">
      <c r="B136" s="2386"/>
      <c r="C136" s="2386"/>
      <c r="D136" s="2386"/>
      <c r="E136" s="2386"/>
      <c r="F136" s="2386"/>
      <c r="G136" s="2387"/>
      <c r="H136" s="2386"/>
      <c r="I136" s="2387"/>
      <c r="J136" s="2386"/>
      <c r="K136" s="2386"/>
      <c r="L136" s="2387"/>
      <c r="M136" s="2386"/>
      <c r="N136" s="2386"/>
      <c r="O136" s="2387"/>
      <c r="P136" s="2386"/>
      <c r="Q136" s="2386"/>
      <c r="R136" s="2388"/>
    </row>
    <row r="137" spans="2:18" s="2362" customFormat="1">
      <c r="B137" s="2386"/>
      <c r="C137" s="2386"/>
      <c r="D137" s="2386"/>
      <c r="E137" s="2386"/>
      <c r="F137" s="2386"/>
      <c r="G137" s="2387"/>
      <c r="H137" s="2386"/>
      <c r="I137" s="2387"/>
      <c r="J137" s="2386"/>
      <c r="K137" s="2386"/>
      <c r="L137" s="2387"/>
      <c r="M137" s="2386"/>
      <c r="N137" s="2386"/>
      <c r="O137" s="2387"/>
      <c r="P137" s="2386"/>
      <c r="Q137" s="2386"/>
      <c r="R137" s="2388"/>
    </row>
    <row r="138" spans="2:18" s="2362" customFormat="1">
      <c r="B138" s="2386"/>
      <c r="C138" s="2386"/>
      <c r="D138" s="2386"/>
      <c r="E138" s="2386"/>
      <c r="F138" s="2386"/>
      <c r="G138" s="2387"/>
      <c r="H138" s="2386"/>
      <c r="I138" s="2387"/>
      <c r="J138" s="2386"/>
      <c r="K138" s="2386"/>
      <c r="L138" s="2387"/>
      <c r="M138" s="2386"/>
      <c r="N138" s="2386"/>
      <c r="O138" s="2387"/>
      <c r="P138" s="2386"/>
      <c r="Q138" s="2386"/>
      <c r="R138" s="2388"/>
    </row>
    <row r="139" spans="2:18" s="2362" customFormat="1">
      <c r="B139" s="2386"/>
      <c r="C139" s="2386"/>
      <c r="D139" s="2386"/>
      <c r="E139" s="2386"/>
      <c r="F139" s="2386"/>
      <c r="G139" s="2387"/>
      <c r="H139" s="2386"/>
      <c r="I139" s="2387"/>
      <c r="J139" s="2386"/>
      <c r="K139" s="2386"/>
      <c r="L139" s="2387"/>
      <c r="M139" s="2386"/>
      <c r="N139" s="2386"/>
      <c r="O139" s="2387"/>
      <c r="P139" s="2386"/>
      <c r="Q139" s="2386"/>
      <c r="R139" s="2388"/>
    </row>
    <row r="140" spans="2:18" s="2362" customFormat="1">
      <c r="B140" s="2386"/>
      <c r="C140" s="2386"/>
      <c r="D140" s="2386"/>
      <c r="E140" s="2386"/>
      <c r="F140" s="2386"/>
      <c r="G140" s="2387"/>
      <c r="H140" s="2386"/>
      <c r="I140" s="2387"/>
      <c r="J140" s="2386"/>
      <c r="K140" s="2386"/>
      <c r="L140" s="2387"/>
      <c r="M140" s="2386"/>
      <c r="N140" s="2386"/>
      <c r="O140" s="2387"/>
      <c r="P140" s="2386"/>
      <c r="Q140" s="2386"/>
      <c r="R140" s="2388"/>
    </row>
    <row r="141" spans="2:18" s="2362" customFormat="1">
      <c r="B141" s="2386"/>
      <c r="C141" s="2386"/>
      <c r="D141" s="2386"/>
      <c r="E141" s="2386"/>
      <c r="F141" s="2386"/>
      <c r="G141" s="2387"/>
      <c r="H141" s="2386"/>
      <c r="I141" s="2387"/>
      <c r="J141" s="2386"/>
      <c r="K141" s="2386"/>
      <c r="L141" s="2387"/>
      <c r="M141" s="2386"/>
      <c r="N141" s="2386"/>
      <c r="O141" s="2387"/>
      <c r="P141" s="2386"/>
      <c r="Q141" s="2386"/>
      <c r="R141" s="2388"/>
    </row>
    <row r="142" spans="2:18" s="2362" customFormat="1">
      <c r="B142" s="2386"/>
      <c r="C142" s="2386"/>
      <c r="D142" s="2386"/>
      <c r="E142" s="2386"/>
      <c r="F142" s="2386"/>
      <c r="G142" s="2387"/>
      <c r="H142" s="2386"/>
      <c r="I142" s="2387"/>
      <c r="J142" s="2386"/>
      <c r="K142" s="2386"/>
      <c r="L142" s="2387"/>
      <c r="M142" s="2386"/>
      <c r="N142" s="2386"/>
      <c r="O142" s="2387"/>
      <c r="P142" s="2386"/>
      <c r="Q142" s="2386"/>
      <c r="R142" s="2388"/>
    </row>
    <row r="143" spans="2:18" s="2362" customFormat="1">
      <c r="B143" s="2386"/>
      <c r="C143" s="2386"/>
      <c r="D143" s="2386"/>
      <c r="E143" s="2386"/>
      <c r="F143" s="2386"/>
      <c r="G143" s="2387"/>
      <c r="H143" s="2386"/>
      <c r="I143" s="2387"/>
      <c r="J143" s="2386"/>
      <c r="K143" s="2386"/>
      <c r="L143" s="2387"/>
      <c r="M143" s="2386"/>
      <c r="N143" s="2386"/>
      <c r="O143" s="2387"/>
      <c r="P143" s="2386"/>
      <c r="Q143" s="2386"/>
      <c r="R143" s="2388"/>
    </row>
    <row r="144" spans="2:18" s="2362" customFormat="1">
      <c r="B144" s="2386"/>
      <c r="C144" s="2386"/>
      <c r="D144" s="2386"/>
      <c r="E144" s="2386"/>
      <c r="F144" s="2386"/>
      <c r="G144" s="2387"/>
      <c r="H144" s="2386"/>
      <c r="I144" s="2387"/>
      <c r="J144" s="2386"/>
      <c r="K144" s="2386"/>
      <c r="L144" s="2387"/>
      <c r="M144" s="2386"/>
      <c r="N144" s="2386"/>
      <c r="O144" s="2387"/>
      <c r="P144" s="2386"/>
      <c r="Q144" s="2386"/>
      <c r="R144" s="2388"/>
    </row>
    <row r="145" spans="2:18" s="2362" customFormat="1">
      <c r="B145" s="2386"/>
      <c r="C145" s="2386"/>
      <c r="D145" s="2386"/>
      <c r="E145" s="2386"/>
      <c r="F145" s="2386"/>
      <c r="G145" s="2387"/>
      <c r="H145" s="2386"/>
      <c r="I145" s="2387"/>
      <c r="J145" s="2386"/>
      <c r="K145" s="2386"/>
      <c r="L145" s="2387"/>
      <c r="M145" s="2386"/>
      <c r="N145" s="2386"/>
      <c r="O145" s="2387"/>
      <c r="P145" s="2386"/>
      <c r="Q145" s="2386"/>
      <c r="R145" s="2388"/>
    </row>
    <row r="146" spans="2:18" s="2362" customFormat="1">
      <c r="B146" s="2386"/>
      <c r="C146" s="2386"/>
      <c r="D146" s="2386"/>
      <c r="E146" s="2386"/>
      <c r="F146" s="2386"/>
      <c r="G146" s="2387"/>
      <c r="H146" s="2386"/>
      <c r="I146" s="2387"/>
      <c r="J146" s="2386"/>
      <c r="K146" s="2386"/>
      <c r="L146" s="2387"/>
      <c r="M146" s="2386"/>
      <c r="N146" s="2386"/>
      <c r="O146" s="2387"/>
      <c r="P146" s="2386"/>
      <c r="Q146" s="2386"/>
      <c r="R146" s="2388"/>
    </row>
    <row r="147" spans="2:18" s="2362" customFormat="1">
      <c r="B147" s="2386"/>
      <c r="C147" s="2386"/>
      <c r="D147" s="2386"/>
      <c r="E147" s="2386"/>
      <c r="F147" s="2386"/>
      <c r="G147" s="2387"/>
      <c r="H147" s="2386"/>
      <c r="I147" s="2387"/>
      <c r="J147" s="2386"/>
      <c r="K147" s="2386"/>
      <c r="L147" s="2387"/>
      <c r="M147" s="2386"/>
      <c r="N147" s="2386"/>
      <c r="O147" s="2387"/>
      <c r="P147" s="2386"/>
      <c r="Q147" s="2386"/>
      <c r="R147" s="2388"/>
    </row>
    <row r="148" spans="2:18" s="2362" customFormat="1">
      <c r="B148" s="2386"/>
      <c r="C148" s="2386"/>
      <c r="D148" s="2386"/>
      <c r="E148" s="2386"/>
      <c r="F148" s="2386"/>
      <c r="G148" s="2387"/>
      <c r="H148" s="2386"/>
      <c r="I148" s="2387"/>
      <c r="J148" s="2386"/>
      <c r="K148" s="2386"/>
      <c r="L148" s="2387"/>
      <c r="M148" s="2386"/>
      <c r="N148" s="2386"/>
      <c r="O148" s="2387"/>
      <c r="P148" s="2386"/>
      <c r="Q148" s="2386"/>
      <c r="R148" s="2388"/>
    </row>
    <row r="149" spans="2:18" s="2362" customFormat="1">
      <c r="B149" s="2386"/>
      <c r="C149" s="2386"/>
      <c r="D149" s="2386"/>
      <c r="E149" s="2386"/>
      <c r="F149" s="2386"/>
      <c r="G149" s="2387"/>
      <c r="H149" s="2386"/>
      <c r="I149" s="2387"/>
      <c r="J149" s="2386"/>
      <c r="K149" s="2386"/>
      <c r="L149" s="2387"/>
      <c r="M149" s="2386"/>
      <c r="N149" s="2386"/>
      <c r="O149" s="2387"/>
      <c r="P149" s="2386"/>
      <c r="Q149" s="2386"/>
      <c r="R149" s="2388"/>
    </row>
    <row r="150" spans="2:18" s="2362" customFormat="1">
      <c r="B150" s="2386"/>
      <c r="C150" s="2386"/>
      <c r="D150" s="2386"/>
      <c r="E150" s="2386"/>
      <c r="F150" s="2386"/>
      <c r="G150" s="2387"/>
      <c r="H150" s="2386"/>
      <c r="I150" s="2387"/>
      <c r="J150" s="2386"/>
      <c r="K150" s="2386"/>
      <c r="L150" s="2387"/>
      <c r="M150" s="2386"/>
      <c r="N150" s="2386"/>
      <c r="O150" s="2387"/>
      <c r="P150" s="2386"/>
      <c r="Q150" s="2386"/>
      <c r="R150" s="2388"/>
    </row>
    <row r="151" spans="2:18" s="2362" customFormat="1">
      <c r="B151" s="2386"/>
      <c r="C151" s="2386"/>
      <c r="D151" s="2386"/>
      <c r="E151" s="2386"/>
      <c r="F151" s="2386"/>
      <c r="G151" s="2387"/>
      <c r="H151" s="2386"/>
      <c r="I151" s="2387"/>
      <c r="J151" s="2386"/>
      <c r="K151" s="2386"/>
      <c r="L151" s="2387"/>
      <c r="M151" s="2386"/>
      <c r="N151" s="2386"/>
      <c r="O151" s="2387"/>
      <c r="P151" s="2386"/>
      <c r="Q151" s="2386"/>
      <c r="R151" s="2388"/>
    </row>
    <row r="152" spans="2:18" s="2362" customFormat="1">
      <c r="B152" s="2386"/>
      <c r="C152" s="2386"/>
      <c r="D152" s="2386"/>
      <c r="E152" s="2386"/>
      <c r="F152" s="2386"/>
      <c r="G152" s="2387"/>
      <c r="H152" s="2386"/>
      <c r="I152" s="2387"/>
      <c r="J152" s="2386"/>
      <c r="K152" s="2386"/>
      <c r="L152" s="2387"/>
      <c r="M152" s="2386"/>
      <c r="N152" s="2386"/>
      <c r="O152" s="2387"/>
      <c r="P152" s="2386"/>
      <c r="Q152" s="2386"/>
      <c r="R152" s="2388"/>
    </row>
    <row r="153" spans="2:18" s="2362" customFormat="1">
      <c r="B153" s="2386"/>
      <c r="C153" s="2386"/>
      <c r="D153" s="2386"/>
      <c r="E153" s="2386"/>
      <c r="F153" s="2386"/>
      <c r="G153" s="2387"/>
      <c r="H153" s="2386"/>
      <c r="I153" s="2387"/>
      <c r="J153" s="2386"/>
      <c r="K153" s="2386"/>
      <c r="L153" s="2387"/>
      <c r="M153" s="2386"/>
      <c r="N153" s="2386"/>
      <c r="O153" s="2387"/>
      <c r="P153" s="2386"/>
      <c r="Q153" s="2386"/>
      <c r="R153" s="2388"/>
    </row>
    <row r="154" spans="2:18" s="2362" customFormat="1">
      <c r="B154" s="2386"/>
      <c r="C154" s="2386"/>
      <c r="D154" s="2386"/>
      <c r="E154" s="2386"/>
      <c r="F154" s="2386"/>
      <c r="G154" s="2387"/>
      <c r="H154" s="2386"/>
      <c r="I154" s="2387"/>
      <c r="J154" s="2386"/>
      <c r="K154" s="2386"/>
      <c r="L154" s="2387"/>
      <c r="M154" s="2386"/>
      <c r="N154" s="2386"/>
      <c r="O154" s="2387"/>
      <c r="P154" s="2386"/>
      <c r="Q154" s="2386"/>
      <c r="R154" s="2388"/>
    </row>
    <row r="155" spans="2:18" s="2362" customFormat="1">
      <c r="B155" s="2386"/>
      <c r="C155" s="2386"/>
      <c r="D155" s="2386"/>
      <c r="E155" s="2386"/>
      <c r="F155" s="2386"/>
      <c r="G155" s="2387"/>
      <c r="H155" s="2386"/>
      <c r="I155" s="2387"/>
      <c r="J155" s="2386"/>
      <c r="K155" s="2386"/>
      <c r="L155" s="2387"/>
      <c r="M155" s="2386"/>
      <c r="N155" s="2386"/>
      <c r="O155" s="2387"/>
      <c r="P155" s="2386"/>
      <c r="Q155" s="2386"/>
      <c r="R155" s="2388"/>
    </row>
    <row r="156" spans="2:18" s="2362" customFormat="1">
      <c r="B156" s="2386"/>
      <c r="C156" s="2386"/>
      <c r="D156" s="2386"/>
      <c r="E156" s="2386"/>
      <c r="F156" s="2386"/>
      <c r="G156" s="2387"/>
      <c r="H156" s="2386"/>
      <c r="I156" s="2387"/>
      <c r="J156" s="2386"/>
      <c r="K156" s="2386"/>
      <c r="L156" s="2387"/>
      <c r="M156" s="2386"/>
      <c r="N156" s="2386"/>
      <c r="O156" s="2387"/>
      <c r="P156" s="2386"/>
      <c r="Q156" s="2386"/>
      <c r="R156" s="2388"/>
    </row>
    <row r="157" spans="2:18" s="2362" customFormat="1">
      <c r="B157" s="2386"/>
      <c r="C157" s="2386"/>
      <c r="D157" s="2386"/>
      <c r="E157" s="2386"/>
      <c r="F157" s="2386"/>
      <c r="G157" s="2387"/>
      <c r="H157" s="2386"/>
      <c r="I157" s="2387"/>
      <c r="J157" s="2386"/>
      <c r="K157" s="2386"/>
      <c r="L157" s="2387"/>
      <c r="M157" s="2386"/>
      <c r="N157" s="2386"/>
      <c r="O157" s="2387"/>
      <c r="P157" s="2386"/>
      <c r="Q157" s="2386"/>
      <c r="R157" s="2388"/>
    </row>
    <row r="158" spans="2:18" s="2362" customFormat="1">
      <c r="B158" s="2386"/>
      <c r="C158" s="2386"/>
      <c r="D158" s="2386"/>
      <c r="E158" s="2386"/>
      <c r="F158" s="2386"/>
      <c r="G158" s="2387"/>
      <c r="H158" s="2386"/>
      <c r="I158" s="2387"/>
      <c r="J158" s="2386"/>
      <c r="K158" s="2386"/>
      <c r="L158" s="2387"/>
      <c r="M158" s="2386"/>
      <c r="N158" s="2386"/>
      <c r="O158" s="2387"/>
      <c r="P158" s="2386"/>
      <c r="Q158" s="2386"/>
      <c r="R158" s="2388"/>
    </row>
    <row r="159" spans="2:18" s="2362" customFormat="1">
      <c r="B159" s="2386"/>
      <c r="C159" s="2386"/>
      <c r="D159" s="2386"/>
      <c r="E159" s="2386"/>
      <c r="F159" s="2386"/>
      <c r="G159" s="2387"/>
      <c r="H159" s="2386"/>
      <c r="I159" s="2387"/>
      <c r="J159" s="2386"/>
      <c r="K159" s="2386"/>
      <c r="L159" s="2387"/>
      <c r="M159" s="2386"/>
      <c r="N159" s="2386"/>
      <c r="O159" s="2387"/>
      <c r="P159" s="2386"/>
      <c r="Q159" s="2386"/>
      <c r="R159" s="2388"/>
    </row>
    <row r="160" spans="2:18" s="2362" customFormat="1">
      <c r="B160" s="2386"/>
      <c r="C160" s="2386"/>
      <c r="D160" s="2386"/>
      <c r="E160" s="2386"/>
      <c r="F160" s="2386"/>
      <c r="G160" s="2387"/>
      <c r="H160" s="2386"/>
      <c r="I160" s="2387"/>
      <c r="J160" s="2386"/>
      <c r="K160" s="2386"/>
      <c r="L160" s="2387"/>
      <c r="M160" s="2386"/>
      <c r="N160" s="2386"/>
      <c r="O160" s="2387"/>
      <c r="P160" s="2386"/>
      <c r="Q160" s="2386"/>
      <c r="R160" s="2388"/>
    </row>
    <row r="161" spans="2:18" s="2362" customFormat="1">
      <c r="B161" s="2386"/>
      <c r="C161" s="2386"/>
      <c r="D161" s="2386"/>
      <c r="E161" s="2386"/>
      <c r="F161" s="2386"/>
      <c r="G161" s="2387"/>
      <c r="H161" s="2386"/>
      <c r="I161" s="2387"/>
      <c r="J161" s="2386"/>
      <c r="K161" s="2386"/>
      <c r="L161" s="2387"/>
      <c r="M161" s="2386"/>
      <c r="N161" s="2386"/>
      <c r="O161" s="2387"/>
      <c r="P161" s="2386"/>
      <c r="Q161" s="2386"/>
      <c r="R161" s="2388"/>
    </row>
    <row r="162" spans="2:18" s="2362" customFormat="1">
      <c r="B162" s="2386"/>
      <c r="C162" s="2386"/>
      <c r="D162" s="2386"/>
      <c r="E162" s="2386"/>
      <c r="F162" s="2386"/>
      <c r="G162" s="2387"/>
      <c r="H162" s="2386"/>
      <c r="I162" s="2387"/>
      <c r="J162" s="2386"/>
      <c r="K162" s="2386"/>
      <c r="L162" s="2387"/>
      <c r="M162" s="2386"/>
      <c r="N162" s="2386"/>
      <c r="O162" s="2387"/>
      <c r="P162" s="2386"/>
      <c r="Q162" s="2386"/>
      <c r="R162" s="2388"/>
    </row>
    <row r="163" spans="2:18" s="2362" customFormat="1">
      <c r="B163" s="2386"/>
      <c r="C163" s="2386"/>
      <c r="D163" s="2386"/>
      <c r="E163" s="2386"/>
      <c r="F163" s="2386"/>
      <c r="G163" s="2387"/>
      <c r="H163" s="2386"/>
      <c r="I163" s="2387"/>
      <c r="J163" s="2386"/>
      <c r="K163" s="2386"/>
      <c r="L163" s="2387"/>
      <c r="M163" s="2386"/>
      <c r="N163" s="2386"/>
      <c r="O163" s="2387"/>
      <c r="P163" s="2386"/>
      <c r="Q163" s="2386"/>
      <c r="R163" s="2388"/>
    </row>
    <row r="164" spans="2:18" s="2362" customFormat="1">
      <c r="B164" s="2386"/>
      <c r="C164" s="2386"/>
      <c r="D164" s="2386"/>
      <c r="E164" s="2386"/>
      <c r="F164" s="2386"/>
      <c r="G164" s="2387"/>
      <c r="H164" s="2386"/>
      <c r="I164" s="2387"/>
      <c r="J164" s="2386"/>
      <c r="K164" s="2386"/>
      <c r="L164" s="2387"/>
      <c r="M164" s="2386"/>
      <c r="N164" s="2386"/>
      <c r="O164" s="2387"/>
      <c r="P164" s="2386"/>
      <c r="Q164" s="2386"/>
      <c r="R164" s="2388"/>
    </row>
    <row r="165" spans="2:18" s="2362" customFormat="1">
      <c r="B165" s="2386"/>
      <c r="C165" s="2386"/>
      <c r="D165" s="2386"/>
      <c r="E165" s="2386"/>
      <c r="F165" s="2386"/>
      <c r="G165" s="2387"/>
      <c r="H165" s="2386"/>
      <c r="I165" s="2387"/>
      <c r="J165" s="2386"/>
      <c r="K165" s="2386"/>
      <c r="L165" s="2387"/>
      <c r="M165" s="2386"/>
      <c r="N165" s="2386"/>
      <c r="O165" s="2387"/>
      <c r="P165" s="2386"/>
      <c r="Q165" s="2386"/>
      <c r="R165" s="2388"/>
    </row>
    <row r="166" spans="2:18" s="2362" customFormat="1">
      <c r="B166" s="2386"/>
      <c r="C166" s="2386"/>
      <c r="D166" s="2386"/>
      <c r="E166" s="2386"/>
      <c r="F166" s="2386"/>
      <c r="G166" s="2387"/>
      <c r="H166" s="2386"/>
      <c r="I166" s="2387"/>
      <c r="J166" s="2386"/>
      <c r="K166" s="2386"/>
      <c r="L166" s="2387"/>
      <c r="M166" s="2386"/>
      <c r="N166" s="2386"/>
      <c r="O166" s="2387"/>
      <c r="P166" s="2386"/>
      <c r="Q166" s="2386"/>
      <c r="R166" s="2388"/>
    </row>
    <row r="167" spans="2:18" s="2362" customFormat="1">
      <c r="B167" s="2386"/>
      <c r="C167" s="2386"/>
      <c r="D167" s="2386"/>
      <c r="E167" s="2386"/>
      <c r="F167" s="2386"/>
      <c r="G167" s="2387"/>
      <c r="H167" s="2386"/>
      <c r="I167" s="2387"/>
      <c r="J167" s="2386"/>
      <c r="K167" s="2386"/>
      <c r="L167" s="2387"/>
      <c r="M167" s="2386"/>
      <c r="N167" s="2386"/>
      <c r="O167" s="2387"/>
      <c r="P167" s="2386"/>
      <c r="Q167" s="2386"/>
      <c r="R167" s="2388"/>
    </row>
    <row r="168" spans="2:18" s="2362" customFormat="1">
      <c r="B168" s="2386"/>
      <c r="C168" s="2386"/>
      <c r="D168" s="2386"/>
      <c r="E168" s="2386"/>
      <c r="F168" s="2386"/>
      <c r="G168" s="2387"/>
      <c r="H168" s="2386"/>
      <c r="I168" s="2387"/>
      <c r="J168" s="2386"/>
      <c r="K168" s="2386"/>
      <c r="L168" s="2387"/>
      <c r="M168" s="2386"/>
      <c r="N168" s="2386"/>
      <c r="O168" s="2387"/>
      <c r="P168" s="2386"/>
      <c r="Q168" s="2386"/>
      <c r="R168" s="2388"/>
    </row>
    <row r="169" spans="2:18" s="2362" customFormat="1">
      <c r="B169" s="2386"/>
      <c r="C169" s="2386"/>
      <c r="D169" s="2386"/>
      <c r="E169" s="2386"/>
      <c r="F169" s="2386"/>
      <c r="G169" s="2387"/>
      <c r="H169" s="2386"/>
      <c r="I169" s="2387"/>
      <c r="J169" s="2386"/>
      <c r="K169" s="2386"/>
      <c r="L169" s="2387"/>
      <c r="M169" s="2386"/>
      <c r="N169" s="2386"/>
      <c r="O169" s="2387"/>
      <c r="P169" s="2386"/>
      <c r="Q169" s="2386"/>
      <c r="R169" s="2388"/>
    </row>
    <row r="170" spans="2:18" s="2362" customFormat="1">
      <c r="B170" s="2386"/>
      <c r="C170" s="2386"/>
      <c r="D170" s="2386"/>
      <c r="E170" s="2386"/>
      <c r="F170" s="2386"/>
      <c r="G170" s="2387"/>
      <c r="H170" s="2386"/>
      <c r="I170" s="2387"/>
      <c r="J170" s="2386"/>
      <c r="K170" s="2386"/>
      <c r="L170" s="2387"/>
      <c r="M170" s="2386"/>
      <c r="N170" s="2386"/>
      <c r="O170" s="2387"/>
      <c r="P170" s="2386"/>
      <c r="Q170" s="2386"/>
      <c r="R170" s="2388"/>
    </row>
    <row r="171" spans="2:18" s="2362" customFormat="1">
      <c r="B171" s="2386"/>
      <c r="C171" s="2386"/>
      <c r="D171" s="2386"/>
      <c r="E171" s="2386"/>
      <c r="F171" s="2386"/>
      <c r="G171" s="2387"/>
      <c r="H171" s="2386"/>
      <c r="I171" s="2387"/>
      <c r="J171" s="2386"/>
      <c r="K171" s="2386"/>
      <c r="L171" s="2387"/>
      <c r="M171" s="2386"/>
      <c r="N171" s="2386"/>
      <c r="O171" s="2387"/>
      <c r="P171" s="2386"/>
      <c r="Q171" s="2386"/>
      <c r="R171" s="2388"/>
    </row>
    <row r="172" spans="2:18" s="2362" customFormat="1">
      <c r="B172" s="2386"/>
      <c r="C172" s="2386"/>
      <c r="D172" s="2386"/>
      <c r="E172" s="2386"/>
      <c r="F172" s="2386"/>
      <c r="G172" s="2387"/>
      <c r="H172" s="2386"/>
      <c r="I172" s="2387"/>
      <c r="J172" s="2386"/>
      <c r="K172" s="2386"/>
      <c r="L172" s="2387"/>
      <c r="M172" s="2386"/>
      <c r="N172" s="2386"/>
      <c r="O172" s="2387"/>
      <c r="P172" s="2386"/>
      <c r="Q172" s="2386"/>
      <c r="R172" s="2388"/>
    </row>
    <row r="173" spans="2:18" s="2362" customFormat="1">
      <c r="B173" s="2386"/>
      <c r="C173" s="2386"/>
      <c r="D173" s="2386"/>
      <c r="E173" s="2386"/>
      <c r="F173" s="2386"/>
      <c r="G173" s="2387"/>
      <c r="H173" s="2386"/>
      <c r="I173" s="2387"/>
      <c r="J173" s="2386"/>
      <c r="K173" s="2386"/>
      <c r="L173" s="2387"/>
      <c r="M173" s="2386"/>
      <c r="N173" s="2386"/>
      <c r="O173" s="2387"/>
      <c r="P173" s="2386"/>
      <c r="Q173" s="2386"/>
      <c r="R173" s="2388"/>
    </row>
    <row r="174" spans="2:18" s="2362" customFormat="1">
      <c r="B174" s="2386"/>
      <c r="C174" s="2386"/>
      <c r="D174" s="2386"/>
      <c r="E174" s="2386"/>
      <c r="F174" s="2386"/>
      <c r="G174" s="2387"/>
      <c r="H174" s="2386"/>
      <c r="I174" s="2387"/>
      <c r="J174" s="2386"/>
      <c r="K174" s="2386"/>
      <c r="L174" s="2387"/>
      <c r="M174" s="2386"/>
      <c r="N174" s="2386"/>
      <c r="O174" s="2387"/>
      <c r="P174" s="2386"/>
      <c r="Q174" s="2386"/>
      <c r="R174" s="2388"/>
    </row>
    <row r="175" spans="2:18" s="2362" customFormat="1">
      <c r="B175" s="2386"/>
      <c r="C175" s="2386"/>
      <c r="D175" s="2386"/>
      <c r="E175" s="2386"/>
      <c r="F175" s="2386"/>
      <c r="G175" s="2387"/>
      <c r="H175" s="2386"/>
      <c r="I175" s="2387"/>
      <c r="J175" s="2386"/>
      <c r="K175" s="2386"/>
      <c r="L175" s="2387"/>
      <c r="M175" s="2386"/>
      <c r="N175" s="2386"/>
      <c r="O175" s="2387"/>
      <c r="P175" s="2386"/>
      <c r="Q175" s="2386"/>
      <c r="R175" s="2388"/>
    </row>
    <row r="176" spans="2:18" s="2362" customFormat="1">
      <c r="B176" s="2386"/>
      <c r="C176" s="2386"/>
      <c r="D176" s="2386"/>
      <c r="E176" s="2386"/>
      <c r="F176" s="2386"/>
      <c r="G176" s="2387"/>
      <c r="H176" s="2386"/>
      <c r="I176" s="2387"/>
      <c r="J176" s="2386"/>
      <c r="K176" s="2386"/>
      <c r="L176" s="2387"/>
      <c r="M176" s="2386"/>
      <c r="N176" s="2386"/>
      <c r="O176" s="2387"/>
      <c r="P176" s="2386"/>
      <c r="Q176" s="2386"/>
      <c r="R176" s="2388"/>
    </row>
    <row r="177" spans="1:18" s="2362" customFormat="1">
      <c r="B177" s="2386"/>
      <c r="C177" s="2386"/>
      <c r="D177" s="2386"/>
      <c r="E177" s="2386"/>
      <c r="F177" s="2386"/>
      <c r="G177" s="2387"/>
      <c r="H177" s="2386"/>
      <c r="I177" s="2387"/>
      <c r="J177" s="2386"/>
      <c r="K177" s="2386"/>
      <c r="L177" s="2387"/>
      <c r="M177" s="2386"/>
      <c r="N177" s="2386"/>
      <c r="O177" s="2387"/>
      <c r="P177" s="2386"/>
      <c r="Q177" s="2386"/>
      <c r="R177" s="2388"/>
    </row>
    <row r="178" spans="1:18" s="2362" customFormat="1">
      <c r="B178" s="2386"/>
      <c r="C178" s="2386"/>
      <c r="D178" s="2386"/>
      <c r="E178" s="2386"/>
      <c r="F178" s="2386"/>
      <c r="G178" s="2387"/>
      <c r="H178" s="2386"/>
      <c r="I178" s="2387"/>
      <c r="J178" s="2386"/>
      <c r="K178" s="2386"/>
      <c r="L178" s="2387"/>
      <c r="M178" s="2386"/>
      <c r="N178" s="2386"/>
      <c r="O178" s="2387"/>
      <c r="P178" s="2386"/>
      <c r="Q178" s="2386"/>
      <c r="R178" s="2388"/>
    </row>
    <row r="179" spans="1:18" s="2362" customFormat="1">
      <c r="B179" s="2386"/>
      <c r="C179" s="2386"/>
      <c r="D179" s="2386"/>
      <c r="E179" s="2386"/>
      <c r="F179" s="2386"/>
      <c r="G179" s="2387"/>
      <c r="H179" s="2386"/>
      <c r="I179" s="2387"/>
      <c r="J179" s="2386"/>
      <c r="K179" s="2386"/>
      <c r="L179" s="2387"/>
      <c r="M179" s="2386"/>
      <c r="N179" s="2386"/>
      <c r="O179" s="2387"/>
      <c r="P179" s="2386"/>
      <c r="Q179" s="2386"/>
      <c r="R179" s="2388"/>
    </row>
    <row r="180" spans="1:18" s="2362" customFormat="1">
      <c r="B180" s="2386"/>
      <c r="C180" s="2386"/>
      <c r="D180" s="2386"/>
      <c r="E180" s="2386"/>
      <c r="F180" s="2386"/>
      <c r="G180" s="2387"/>
      <c r="H180" s="2386"/>
      <c r="I180" s="2387"/>
      <c r="J180" s="2386"/>
      <c r="K180" s="2386"/>
      <c r="L180" s="2387"/>
      <c r="M180" s="2386"/>
      <c r="N180" s="2386"/>
      <c r="O180" s="2387"/>
      <c r="P180" s="2386"/>
      <c r="Q180" s="2386"/>
      <c r="R180" s="2388"/>
    </row>
    <row r="181" spans="1:18" s="2362" customFormat="1">
      <c r="B181" s="2386"/>
      <c r="C181" s="2386"/>
      <c r="D181" s="2386"/>
      <c r="E181" s="2386"/>
      <c r="F181" s="2386"/>
      <c r="G181" s="2387"/>
      <c r="H181" s="2386"/>
      <c r="I181" s="2387"/>
      <c r="J181" s="2386"/>
      <c r="K181" s="2386"/>
      <c r="L181" s="2387"/>
      <c r="M181" s="2386"/>
      <c r="N181" s="2386"/>
      <c r="O181" s="2387"/>
      <c r="P181" s="2386"/>
      <c r="Q181" s="2386"/>
      <c r="R181" s="2388"/>
    </row>
    <row r="182" spans="1:18" s="2362" customFormat="1">
      <c r="B182" s="2386"/>
      <c r="C182" s="2386"/>
      <c r="D182" s="2386"/>
      <c r="E182" s="2386"/>
      <c r="F182" s="2386"/>
      <c r="G182" s="2387"/>
      <c r="H182" s="2386"/>
      <c r="I182" s="2387"/>
      <c r="J182" s="2386"/>
      <c r="K182" s="2386"/>
      <c r="L182" s="2387"/>
      <c r="M182" s="2386"/>
      <c r="N182" s="2386"/>
      <c r="O182" s="2387"/>
      <c r="P182" s="2386"/>
      <c r="Q182" s="2386"/>
      <c r="R182" s="2388"/>
    </row>
    <row r="183" spans="1:18" s="2362" customFormat="1">
      <c r="B183" s="2386"/>
      <c r="C183" s="2386"/>
      <c r="D183" s="2386"/>
      <c r="E183" s="2386"/>
      <c r="F183" s="2386"/>
      <c r="G183" s="2387"/>
      <c r="H183" s="2386"/>
      <c r="I183" s="2387"/>
      <c r="J183" s="2386"/>
      <c r="K183" s="2386"/>
      <c r="L183" s="2387"/>
      <c r="M183" s="2386"/>
      <c r="N183" s="2386"/>
      <c r="O183" s="2387"/>
      <c r="P183" s="2386"/>
      <c r="Q183" s="2386"/>
      <c r="R183" s="2388"/>
    </row>
    <row r="184" spans="1:18" s="2362" customFormat="1">
      <c r="B184" s="2386"/>
      <c r="C184" s="2386"/>
      <c r="D184" s="2386"/>
      <c r="E184" s="2386"/>
      <c r="F184" s="2386"/>
      <c r="G184" s="2387"/>
      <c r="H184" s="2386"/>
      <c r="I184" s="2387"/>
      <c r="J184" s="2386"/>
      <c r="K184" s="2386"/>
      <c r="L184" s="2387"/>
      <c r="M184" s="2386"/>
      <c r="N184" s="2386"/>
      <c r="O184" s="2387"/>
      <c r="P184" s="2386"/>
      <c r="Q184" s="2386"/>
      <c r="R184" s="2388"/>
    </row>
    <row r="185" spans="1:18" s="2362"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2"/>
      <c r="B186" s="2386"/>
      <c r="C186" s="2386"/>
      <c r="E186" s="2386"/>
      <c r="F186" s="2386"/>
      <c r="G186" s="2387"/>
    </row>
    <row r="187" spans="1:18">
      <c r="A187" s="2362"/>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1363</v>
      </c>
      <c r="B1" s="1740">
        <f>SUM(B14:B23)</f>
        <v>120487.72</v>
      </c>
      <c r="C1" s="1739"/>
      <c r="D1" s="1739"/>
      <c r="E1" s="1739"/>
      <c r="F1" s="1739"/>
      <c r="G1" s="1737"/>
    </row>
    <row r="2" spans="1:10" ht="16.5">
      <c r="A2" s="1740" t="s">
        <v>1351</v>
      </c>
      <c r="B2" s="1740">
        <f>SUM(C14:C23)</f>
        <v>22271.54</v>
      </c>
      <c r="C2" s="1739"/>
      <c r="D2" s="1739"/>
      <c r="E2" s="1739"/>
      <c r="F2" s="1739"/>
      <c r="G2" s="1737"/>
    </row>
    <row r="3" spans="1:10" ht="16.5">
      <c r="A3" s="1740" t="s">
        <v>1360</v>
      </c>
      <c r="B3" s="1741">
        <f>项目基本情况!D3</f>
        <v>43164</v>
      </c>
      <c r="C3" s="1739"/>
      <c r="D3" s="1739"/>
      <c r="E3" s="1739"/>
      <c r="F3" s="1739"/>
      <c r="G3" s="1737"/>
    </row>
    <row r="4" spans="1:10" ht="33">
      <c r="A4" s="1740" t="s">
        <v>1359</v>
      </c>
      <c r="B4" s="1740" t="s">
        <v>1358</v>
      </c>
      <c r="C4" s="1740" t="s">
        <v>1357</v>
      </c>
      <c r="D4" s="1740" t="s">
        <v>1356</v>
      </c>
      <c r="E4" s="1739"/>
      <c r="F4" s="1737"/>
      <c r="G4" s="1737"/>
    </row>
    <row r="5" spans="1:10" ht="16.5">
      <c r="A5" s="1740" t="s">
        <v>1355</v>
      </c>
      <c r="B5" s="1740">
        <f ca="1">SUM(D14:D23)</f>
        <v>455895</v>
      </c>
      <c r="C5" s="1740">
        <f ca="1">ROUND(B5*10000/$B$1,0)</f>
        <v>37837</v>
      </c>
      <c r="D5" s="1740">
        <f ca="1">ROUND(B5*10000/$B$2,0)</f>
        <v>204698</v>
      </c>
      <c r="E5" s="1739"/>
      <c r="F5" s="1737"/>
      <c r="G5" s="1737"/>
    </row>
    <row r="6" spans="1:10" ht="16.5">
      <c r="A6" s="1740" t="s">
        <v>1354</v>
      </c>
      <c r="B6" s="1740">
        <f>SUM(G14:G23)</f>
        <v>0</v>
      </c>
      <c r="C6" s="1740">
        <f>ROUND(B6*10000/$B$1,0)</f>
        <v>0</v>
      </c>
      <c r="D6" s="1740">
        <f>ROUND(B6*10000/$B$2,0)</f>
        <v>0</v>
      </c>
      <c r="E6" s="1739"/>
      <c r="F6" s="1737"/>
      <c r="G6" s="1737"/>
    </row>
    <row r="7" spans="1:10" ht="16.5">
      <c r="A7" s="1740" t="s">
        <v>1362</v>
      </c>
      <c r="B7" s="1740">
        <f ca="1">SUM(H14:H23)</f>
        <v>455895</v>
      </c>
      <c r="C7" s="1740">
        <f ca="1">ROUND(B7*10000/$B$1,0)</f>
        <v>37837</v>
      </c>
      <c r="D7" s="1740">
        <f ca="1">ROUND(B7*10000/$B$2,0)</f>
        <v>204698</v>
      </c>
      <c r="E7" s="1739"/>
      <c r="F7" s="1737"/>
      <c r="G7" s="1737"/>
    </row>
    <row r="8" spans="1:10" ht="16.5">
      <c r="A8" s="1740" t="s">
        <v>1283</v>
      </c>
      <c r="B8" s="1740">
        <f>SUM(I14:I23)</f>
        <v>0</v>
      </c>
      <c r="C8" s="1740">
        <f>ROUND(B8*10000/$B$1,0)</f>
        <v>0</v>
      </c>
      <c r="D8" s="1740">
        <f>ROUND(B8*10000/$B$2,0)</f>
        <v>0</v>
      </c>
      <c r="E8" s="1739"/>
      <c r="F8" s="1737"/>
      <c r="G8" s="1737"/>
    </row>
    <row r="9" spans="1:10" ht="16.5">
      <c r="A9" s="1740" t="s">
        <v>1353</v>
      </c>
      <c r="B9" s="1742"/>
      <c r="C9" s="1739"/>
      <c r="D9" s="1739"/>
      <c r="E9" s="1739"/>
      <c r="F9" s="1737"/>
      <c r="G9" s="1737"/>
    </row>
    <row r="10" spans="1:10" ht="16.5">
      <c r="A10" s="1740" t="s">
        <v>1352</v>
      </c>
      <c r="B10" s="1742"/>
      <c r="C10" s="1739"/>
      <c r="D10" s="1739"/>
      <c r="E10" s="1739"/>
      <c r="F10" s="1737"/>
      <c r="G10" s="1737"/>
    </row>
    <row r="11" spans="1:10" ht="16.5">
      <c r="A11" s="1740" t="s">
        <v>1368</v>
      </c>
      <c r="B11" s="1742"/>
      <c r="C11" s="1739"/>
      <c r="D11" s="1739"/>
      <c r="E11" s="1739"/>
      <c r="F11" s="1737"/>
      <c r="G11" s="1737"/>
    </row>
    <row r="12" spans="1:10" ht="16.5">
      <c r="A12" s="1739"/>
      <c r="B12" s="1739"/>
      <c r="C12" s="1739"/>
      <c r="D12" s="1739"/>
      <c r="E12" s="1739"/>
      <c r="F12" s="1737"/>
      <c r="G12" s="1737"/>
    </row>
    <row r="13" spans="1:10" ht="33">
      <c r="A13" s="1745" t="s">
        <v>1367</v>
      </c>
      <c r="B13" s="1738" t="s">
        <v>1364</v>
      </c>
      <c r="C13" s="1738" t="s">
        <v>1366</v>
      </c>
      <c r="D13" s="1738" t="s">
        <v>1365</v>
      </c>
      <c r="E13" s="1740" t="s">
        <v>1357</v>
      </c>
      <c r="F13" s="1740" t="s">
        <v>1356</v>
      </c>
      <c r="G13" s="1738" t="s">
        <v>1350</v>
      </c>
      <c r="H13" s="1738" t="s">
        <v>1361</v>
      </c>
      <c r="I13" s="1738" t="s">
        <v>1349</v>
      </c>
      <c r="J13" s="1737"/>
    </row>
    <row r="14" spans="1:10" ht="16.5">
      <c r="A14" s="1736" t="s">
        <v>1348</v>
      </c>
      <c r="B14" s="1738">
        <f>结果表!B118</f>
        <v>120487.72</v>
      </c>
      <c r="C14" s="1738">
        <f>结果表!C118</f>
        <v>22271.54</v>
      </c>
      <c r="D14" s="1738">
        <f ca="1">结果表!H118</f>
        <v>455895</v>
      </c>
      <c r="E14" s="1738">
        <f ca="1">ROUND(D14*10000/B14,0)</f>
        <v>37837</v>
      </c>
      <c r="F14" s="1738">
        <f ca="1">ROUND(D14*10000/C14,0)</f>
        <v>204698</v>
      </c>
      <c r="G14" s="1738" t="str">
        <f>结果表!D122</f>
        <v>——</v>
      </c>
      <c r="H14" s="1738">
        <f ca="1">结果表!D124</f>
        <v>455895</v>
      </c>
      <c r="I14" s="1738" t="str">
        <f>结果表!D126</f>
        <v>——</v>
      </c>
      <c r="J14" s="1737"/>
    </row>
    <row r="15" spans="1:10" ht="16.5">
      <c r="A15" s="1736" t="s">
        <v>1347</v>
      </c>
      <c r="B15" s="1743"/>
      <c r="C15" s="1743"/>
      <c r="D15" s="1743"/>
      <c r="E15" s="1738" t="e">
        <f t="shared" ref="E15:E23" si="0">ROUND(D15*10000/B15,0)</f>
        <v>#DIV/0!</v>
      </c>
      <c r="F15" s="1738" t="e">
        <f t="shared" ref="F15:F23" si="1">ROUND(D15*10000/C15,0)</f>
        <v>#DIV/0!</v>
      </c>
      <c r="G15" s="1744"/>
      <c r="H15" s="1744"/>
      <c r="I15" s="1743"/>
      <c r="J15" s="1737"/>
    </row>
    <row r="16" spans="1:10" ht="16.5">
      <c r="A16" s="1736" t="s">
        <v>1346</v>
      </c>
      <c r="B16" s="1743"/>
      <c r="C16" s="1743"/>
      <c r="D16" s="1743"/>
      <c r="E16" s="1738" t="e">
        <f t="shared" si="0"/>
        <v>#DIV/0!</v>
      </c>
      <c r="F16" s="1738" t="e">
        <f t="shared" si="1"/>
        <v>#DIV/0!</v>
      </c>
      <c r="G16" s="1744"/>
      <c r="H16" s="1744"/>
      <c r="I16" s="1743"/>
    </row>
    <row r="17" spans="1:9" ht="16.5">
      <c r="A17" s="1736" t="s">
        <v>1345</v>
      </c>
      <c r="B17" s="1743"/>
      <c r="C17" s="1743"/>
      <c r="D17" s="1743"/>
      <c r="E17" s="1738" t="e">
        <f t="shared" si="0"/>
        <v>#DIV/0!</v>
      </c>
      <c r="F17" s="1738" t="e">
        <f t="shared" si="1"/>
        <v>#DIV/0!</v>
      </c>
      <c r="G17" s="1744"/>
      <c r="H17" s="1744"/>
      <c r="I17" s="1743"/>
    </row>
    <row r="18" spans="1:9" ht="16.5">
      <c r="A18" s="1736" t="s">
        <v>1344</v>
      </c>
      <c r="B18" s="1743"/>
      <c r="C18" s="1743"/>
      <c r="D18" s="1743"/>
      <c r="E18" s="1738" t="e">
        <f t="shared" si="0"/>
        <v>#DIV/0!</v>
      </c>
      <c r="F18" s="1738" t="e">
        <f t="shared" si="1"/>
        <v>#DIV/0!</v>
      </c>
      <c r="G18" s="1743"/>
      <c r="H18" s="1743"/>
      <c r="I18" s="1743"/>
    </row>
    <row r="19" spans="1:9" ht="16.5">
      <c r="A19" s="1736" t="s">
        <v>1343</v>
      </c>
      <c r="B19" s="1743"/>
      <c r="C19" s="1743"/>
      <c r="D19" s="1743"/>
      <c r="E19" s="1738" t="e">
        <f t="shared" si="0"/>
        <v>#DIV/0!</v>
      </c>
      <c r="F19" s="1738" t="e">
        <f t="shared" si="1"/>
        <v>#DIV/0!</v>
      </c>
      <c r="G19" s="1743"/>
      <c r="H19" s="1743"/>
      <c r="I19" s="1743"/>
    </row>
    <row r="20" spans="1:9" ht="16.5">
      <c r="A20" s="1736" t="s">
        <v>1342</v>
      </c>
      <c r="B20" s="1743"/>
      <c r="C20" s="1743"/>
      <c r="D20" s="1743"/>
      <c r="E20" s="1738" t="e">
        <f t="shared" si="0"/>
        <v>#DIV/0!</v>
      </c>
      <c r="F20" s="1738" t="e">
        <f t="shared" si="1"/>
        <v>#DIV/0!</v>
      </c>
      <c r="G20" s="1743"/>
      <c r="H20" s="1743"/>
      <c r="I20" s="1743"/>
    </row>
    <row r="21" spans="1:9" ht="16.5">
      <c r="A21" s="1736" t="s">
        <v>1341</v>
      </c>
      <c r="B21" s="1743"/>
      <c r="C21" s="1743"/>
      <c r="D21" s="1743"/>
      <c r="E21" s="1738" t="e">
        <f t="shared" si="0"/>
        <v>#DIV/0!</v>
      </c>
      <c r="F21" s="1738" t="e">
        <f t="shared" si="1"/>
        <v>#DIV/0!</v>
      </c>
      <c r="G21" s="1743"/>
      <c r="H21" s="1743"/>
      <c r="I21" s="1743"/>
    </row>
    <row r="22" spans="1:9" ht="16.5">
      <c r="A22" s="1736" t="s">
        <v>1340</v>
      </c>
      <c r="B22" s="1743"/>
      <c r="C22" s="1743"/>
      <c r="D22" s="1743"/>
      <c r="E22" s="1738" t="e">
        <f t="shared" si="0"/>
        <v>#DIV/0!</v>
      </c>
      <c r="F22" s="1738" t="e">
        <f t="shared" si="1"/>
        <v>#DIV/0!</v>
      </c>
      <c r="G22" s="1743"/>
      <c r="H22" s="1743"/>
      <c r="I22" s="1743"/>
    </row>
    <row r="23" spans="1:9" ht="16.5">
      <c r="A23" s="1736" t="s">
        <v>1339</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3" zoomScaleNormal="100" zoomScaleSheetLayoutView="100" zoomScalePageLayoutView="80" workbookViewId="0">
      <selection activeCell="I113" sqref="I113"/>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20" t="s">
        <v>2075</v>
      </c>
      <c r="B1" s="2409"/>
      <c r="C1" s="2410"/>
      <c r="D1" s="2409"/>
      <c r="E1" s="2409"/>
      <c r="F1" s="2411" t="s">
        <v>2076</v>
      </c>
      <c r="G1" s="2065" t="s">
        <v>3022</v>
      </c>
      <c r="H1" s="2412" t="str">
        <f>IF(G1="现房","——","估价对象范围")</f>
        <v>——</v>
      </c>
      <c r="I1" s="2413" t="s">
        <v>3032</v>
      </c>
    </row>
    <row r="2" spans="1:12" ht="21.75" customHeight="1" thickBot="1">
      <c r="A2" s="3154" t="str">
        <f>项目基本情况!S2</f>
        <v>北京市石景山区石景山路乙18号院4号楼房地产</v>
      </c>
      <c r="B2" s="3155"/>
      <c r="C2" s="3155"/>
      <c r="D2" s="3155"/>
      <c r="E2" s="3155"/>
      <c r="F2" s="3155"/>
      <c r="G2" s="3155"/>
      <c r="H2" s="3155"/>
      <c r="I2" s="3156"/>
    </row>
    <row r="3" spans="1:12" ht="12.75">
      <c r="A3" s="3157" t="s">
        <v>2077</v>
      </c>
      <c r="B3" s="3158"/>
      <c r="C3" s="3158"/>
      <c r="D3" s="3158"/>
      <c r="E3" s="3158"/>
      <c r="F3" s="3158"/>
      <c r="G3" s="3158"/>
      <c r="H3" s="3158"/>
      <c r="I3" s="3158"/>
    </row>
    <row r="4" spans="1:12" ht="14.25">
      <c r="A4" s="2416" t="s">
        <v>2078</v>
      </c>
      <c r="B4" s="2417" t="s">
        <v>2079</v>
      </c>
      <c r="C4" s="2418" t="s">
        <v>3033</v>
      </c>
      <c r="D4" s="2418" t="s">
        <v>3108</v>
      </c>
      <c r="E4" s="3138" t="s">
        <v>2080</v>
      </c>
      <c r="F4" s="3151"/>
      <c r="G4" s="3151"/>
      <c r="H4" s="3151"/>
      <c r="I4" s="313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29" t="s">
        <v>2081</v>
      </c>
      <c r="B5" s="3055">
        <v>25</v>
      </c>
      <c r="C5" s="3159"/>
      <c r="D5" s="3147"/>
      <c r="E5" s="139" t="s">
        <v>2082</v>
      </c>
      <c r="F5" s="2420"/>
      <c r="G5" s="2420"/>
      <c r="H5" s="2420"/>
      <c r="I5" s="1828"/>
    </row>
    <row r="6" spans="1:12" ht="12.75">
      <c r="A6" s="3129"/>
      <c r="B6" s="3055"/>
      <c r="C6" s="3161"/>
      <c r="D6" s="3147"/>
      <c r="E6" s="139" t="s">
        <v>2083</v>
      </c>
      <c r="F6" s="2420"/>
      <c r="G6" s="2420"/>
      <c r="H6" s="2420"/>
      <c r="I6" s="1828"/>
    </row>
    <row r="7" spans="1:12" ht="12.75">
      <c r="A7" s="3129"/>
      <c r="B7" s="3055"/>
      <c r="C7" s="3160"/>
      <c r="D7" s="3147"/>
      <c r="E7" s="139" t="s">
        <v>2084</v>
      </c>
      <c r="F7" s="2420"/>
      <c r="G7" s="2420"/>
      <c r="H7" s="2420"/>
      <c r="I7" s="1828"/>
    </row>
    <row r="8" spans="1:12" ht="12.75">
      <c r="A8" s="3129" t="s">
        <v>2085</v>
      </c>
      <c r="B8" s="3055">
        <v>15</v>
      </c>
      <c r="C8" s="3159"/>
      <c r="D8" s="3147"/>
      <c r="E8" s="139" t="s">
        <v>2086</v>
      </c>
      <c r="F8" s="2420"/>
      <c r="G8" s="2420"/>
      <c r="H8" s="2420"/>
      <c r="I8" s="1828"/>
    </row>
    <row r="9" spans="1:12" ht="12.75">
      <c r="A9" s="3129"/>
      <c r="B9" s="3055"/>
      <c r="C9" s="3160"/>
      <c r="D9" s="3147"/>
      <c r="E9" s="139" t="s">
        <v>2087</v>
      </c>
      <c r="F9" s="2420"/>
      <c r="G9" s="2420"/>
      <c r="H9" s="2420"/>
      <c r="I9" s="1828"/>
    </row>
    <row r="10" spans="1:12" ht="12.75">
      <c r="A10" s="3129" t="s">
        <v>2088</v>
      </c>
      <c r="B10" s="3055">
        <v>15</v>
      </c>
      <c r="C10" s="3159"/>
      <c r="D10" s="3147"/>
      <c r="E10" s="139" t="s">
        <v>2089</v>
      </c>
      <c r="F10" s="2420"/>
      <c r="G10" s="2420"/>
      <c r="H10" s="2420"/>
      <c r="I10" s="1828"/>
    </row>
    <row r="11" spans="1:12" ht="12.75">
      <c r="A11" s="3129"/>
      <c r="B11" s="3055"/>
      <c r="C11" s="3160"/>
      <c r="D11" s="3147"/>
      <c r="E11" s="139" t="s">
        <v>2090</v>
      </c>
      <c r="F11" s="2420"/>
      <c r="G11" s="2420"/>
      <c r="H11" s="2420"/>
      <c r="I11" s="1828"/>
    </row>
    <row r="12" spans="1:12" ht="12.75">
      <c r="A12" s="3129" t="s">
        <v>2091</v>
      </c>
      <c r="B12" s="3055">
        <v>15</v>
      </c>
      <c r="C12" s="3159"/>
      <c r="D12" s="3147"/>
      <c r="E12" s="139" t="s">
        <v>2092</v>
      </c>
      <c r="F12" s="2420"/>
      <c r="G12" s="2420"/>
      <c r="H12" s="2420"/>
      <c r="I12" s="1828"/>
    </row>
    <row r="13" spans="1:12" ht="12.75">
      <c r="A13" s="3129"/>
      <c r="B13" s="3055"/>
      <c r="C13" s="3160"/>
      <c r="D13" s="3147"/>
      <c r="E13" s="139" t="s">
        <v>2093</v>
      </c>
      <c r="F13" s="2420"/>
      <c r="G13" s="2420"/>
      <c r="H13" s="2420"/>
      <c r="I13" s="1828"/>
    </row>
    <row r="14" spans="1:12" ht="12.75">
      <c r="A14" s="3129" t="s">
        <v>2094</v>
      </c>
      <c r="B14" s="3055">
        <v>30</v>
      </c>
      <c r="C14" s="3159">
        <v>3</v>
      </c>
      <c r="D14" s="3147">
        <v>7</v>
      </c>
      <c r="E14" s="139" t="s">
        <v>2095</v>
      </c>
      <c r="F14" s="2420"/>
      <c r="G14" s="2420"/>
      <c r="H14" s="2420"/>
      <c r="I14" s="1828"/>
    </row>
    <row r="15" spans="1:12" ht="12.75">
      <c r="A15" s="3129"/>
      <c r="B15" s="3055"/>
      <c r="C15" s="3161"/>
      <c r="D15" s="3147"/>
      <c r="E15" s="139" t="s">
        <v>2096</v>
      </c>
      <c r="F15" s="2420"/>
      <c r="G15" s="2420"/>
      <c r="H15" s="2420"/>
      <c r="I15" s="1828"/>
    </row>
    <row r="16" spans="1:12" ht="12.75">
      <c r="A16" s="3129"/>
      <c r="B16" s="3055"/>
      <c r="C16" s="3160"/>
      <c r="D16" s="3147"/>
      <c r="E16" s="139" t="s">
        <v>2097</v>
      </c>
      <c r="F16" s="2420"/>
      <c r="G16" s="2420"/>
      <c r="H16" s="2420"/>
      <c r="I16" s="1828"/>
    </row>
    <row r="17" spans="1:35" ht="15">
      <c r="A17" s="2421" t="s">
        <v>2098</v>
      </c>
      <c r="B17" s="64"/>
      <c r="C17" s="140">
        <f>SUM(C5:C16)</f>
        <v>3</v>
      </c>
      <c r="D17" s="140">
        <f>SUM(D5:D16)</f>
        <v>7</v>
      </c>
      <c r="E17" s="137"/>
      <c r="F17" s="137"/>
      <c r="G17" s="137"/>
      <c r="H17" s="137"/>
      <c r="I17" s="137"/>
      <c r="K17" s="2419"/>
      <c r="L17" s="2422" t="s">
        <v>2099</v>
      </c>
      <c r="M17" s="2422" t="s">
        <v>2100</v>
      </c>
    </row>
    <row r="18" spans="1:35" ht="15.75" thickBot="1">
      <c r="A18" s="2423" t="s">
        <v>2101</v>
      </c>
      <c r="B18" s="2424"/>
      <c r="C18" s="141">
        <f>ROUND(C17/SUM(C17:D17),2)</f>
        <v>0.3</v>
      </c>
      <c r="D18" s="141">
        <f>1-C18</f>
        <v>0.7</v>
      </c>
      <c r="E18" s="137"/>
      <c r="F18" s="137"/>
      <c r="G18" s="137"/>
      <c r="H18" s="137"/>
      <c r="I18" s="137"/>
      <c r="K18" s="2419" t="s">
        <v>2102</v>
      </c>
      <c r="L18" s="2419">
        <f>IF(C1="",'数据-汇总表'!E3,SUMIF(项目类型,C1,'数据-汇总表'!E17:E26)+SUMIF(项目类型,C1,'数据-汇总表'!I17:I26))</f>
        <v>120487.72</v>
      </c>
      <c r="M18" s="2419">
        <f>IF(C1="",'数据-汇总表'!E3,SUMIF(项目类型,C1,'数据-汇总表'!E17:E26))</f>
        <v>120487.72</v>
      </c>
    </row>
    <row r="19" spans="1:35" ht="15">
      <c r="A19" s="2425" t="s">
        <v>2103</v>
      </c>
      <c r="B19" s="2426" t="s">
        <v>2104</v>
      </c>
      <c r="C19" s="142">
        <f ca="1">SUMIF(INDIRECT("'"&amp;C4&amp;"'"&amp;"!A:A"),结果表!B19,INDIRECT("'"&amp;C4&amp;"'"&amp;"!B:B"))</f>
        <v>348511</v>
      </c>
      <c r="D19" s="143">
        <f ca="1">SUMIF(INDIRECT("'"&amp;D4&amp;"'"&amp;"!A:A"),结果表!B19,INDIRECT("'"&amp;D4&amp;"'"&amp;"!B:B"))</f>
        <v>501917</v>
      </c>
      <c r="E19" s="2425" t="s">
        <v>2105</v>
      </c>
      <c r="F19" s="2426" t="s">
        <v>2104</v>
      </c>
      <c r="G19" s="144">
        <f ca="1">ROUND(C19*$C$18+D19*$D$18,0)</f>
        <v>455895</v>
      </c>
      <c r="H19" s="2427" t="s">
        <v>2106</v>
      </c>
      <c r="I19" s="137"/>
      <c r="K19" s="2419" t="s">
        <v>2107</v>
      </c>
      <c r="L19" s="2419">
        <f>IF(C1="",'数据-汇总表'!D3,SUMIF(项目类型,C1,'数据-汇总表'!D17:D26)+SUMIF(项目类型,C1,'数据-汇总表'!H17:H27))</f>
        <v>22271.54</v>
      </c>
      <c r="M19" s="2419">
        <f>IF(C1="",'数据-汇总表'!D3,SUMIF(项目类型,C1,'数据-汇总表'!D17:D26))</f>
        <v>22271.54</v>
      </c>
    </row>
    <row r="20" spans="1:35" ht="15">
      <c r="A20" s="2428"/>
      <c r="B20" s="1244" t="s">
        <v>2108</v>
      </c>
      <c r="C20" s="145">
        <f ca="1">SUMIF(INDIRECT("'"&amp;C4&amp;"'"&amp;"!A:A"),结果表!B20,INDIRECT("'"&amp;C4&amp;"'"&amp;"!B:B"))</f>
        <v>28925</v>
      </c>
      <c r="D20" s="146">
        <f ca="1">SUMIF(INDIRECT("'"&amp;D4&amp;"'"&amp;"!A:A"),结果表!B20,INDIRECT("'"&amp;D4&amp;"'"&amp;"!B:B"))</f>
        <v>41657</v>
      </c>
      <c r="E20" s="2428"/>
      <c r="F20" s="1244" t="s">
        <v>2108</v>
      </c>
      <c r="G20" s="147">
        <f ca="1">ROUND(C20*$C$18+D20*$D$18,0)</f>
        <v>37837</v>
      </c>
      <c r="H20" s="977" t="s">
        <v>2109</v>
      </c>
      <c r="I20" s="137"/>
    </row>
    <row r="21" spans="1:35" ht="15" customHeight="1" thickBot="1">
      <c r="A21" s="997"/>
      <c r="B21" s="2429" t="s">
        <v>2110</v>
      </c>
      <c r="C21" s="788">
        <f ca="1">ROUND(C19*10000/L19,0)</f>
        <v>156483</v>
      </c>
      <c r="D21" s="789">
        <f ca="1">ROUND(D19*10000/L19,0)</f>
        <v>225363</v>
      </c>
      <c r="E21" s="997"/>
      <c r="F21" s="2429" t="s">
        <v>2110</v>
      </c>
      <c r="G21" s="148">
        <f ca="1">ROUND(G19*10000/L19,0)</f>
        <v>204698</v>
      </c>
      <c r="H21" s="2430" t="s">
        <v>2109</v>
      </c>
      <c r="I21" s="137"/>
    </row>
    <row r="22" spans="1:35" ht="15" thickBot="1">
      <c r="A22" s="2276" t="s">
        <v>2111</v>
      </c>
      <c r="B22" s="2431"/>
      <c r="C22" s="2432"/>
      <c r="D22" s="790">
        <f ca="1">IF(C19&lt;D19,D19/C19-1,C19/D19-1)</f>
        <v>0.44017548943935769</v>
      </c>
      <c r="E22" s="137"/>
      <c r="F22" s="137"/>
      <c r="G22" s="137"/>
      <c r="H22" s="137"/>
      <c r="I22" s="137"/>
    </row>
    <row r="23" spans="1:35" ht="13.5" thickBot="1">
      <c r="A23" s="2409"/>
      <c r="B23" s="2409"/>
      <c r="C23" s="2409"/>
      <c r="D23" s="2409"/>
      <c r="E23" s="137"/>
      <c r="F23" s="137"/>
      <c r="G23" s="137"/>
      <c r="H23" s="137"/>
      <c r="I23" s="137"/>
    </row>
    <row r="24" spans="1:35" ht="14.25">
      <c r="A24" s="3168" t="s">
        <v>2112</v>
      </c>
      <c r="B24" s="2426" t="s">
        <v>2104</v>
      </c>
      <c r="C24" s="144">
        <f>IF(B30=0,0,D30)</f>
        <v>0</v>
      </c>
      <c r="D24" s="2433"/>
      <c r="E24" s="137"/>
      <c r="F24" s="137"/>
      <c r="G24" s="137"/>
      <c r="H24" s="137"/>
      <c r="I24" s="137"/>
    </row>
    <row r="25" spans="1:35" ht="14.25">
      <c r="A25" s="3169"/>
      <c r="B25" s="1244" t="s">
        <v>2108</v>
      </c>
      <c r="C25" s="149">
        <f>IF(B30=0,0,C30)</f>
        <v>0</v>
      </c>
      <c r="D25" s="2434"/>
      <c r="E25" s="137"/>
      <c r="F25" s="137"/>
      <c r="G25" s="137"/>
      <c r="H25" s="137">
        <f ca="1">G19/项目详细情况!F55</f>
        <v>4.5475756038995261</v>
      </c>
      <c r="I25" s="137"/>
    </row>
    <row r="26" spans="1:35" ht="13.5" customHeight="1">
      <c r="A26" s="2435" t="s">
        <v>2113</v>
      </c>
      <c r="B26" s="150" t="s">
        <v>2114</v>
      </c>
      <c r="C26" s="150" t="s">
        <v>2115</v>
      </c>
      <c r="D26" s="151" t="s">
        <v>2116</v>
      </c>
      <c r="E26" s="137"/>
      <c r="F26" s="137"/>
      <c r="G26" s="137"/>
      <c r="H26" s="137"/>
      <c r="I26" s="137"/>
    </row>
    <row r="27" spans="1:35" ht="14.25">
      <c r="A27" s="2435"/>
      <c r="B27" s="150">
        <v>0</v>
      </c>
      <c r="C27" s="150">
        <v>0</v>
      </c>
      <c r="D27" s="151">
        <f ca="1">ROUND(G20/项目详细情况!M58,0)</f>
        <v>68333</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2117</v>
      </c>
      <c r="B30" s="150"/>
      <c r="C30" s="150"/>
      <c r="D30" s="150"/>
      <c r="E30" s="2913" t="s">
        <v>2997</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2118</v>
      </c>
      <c r="B32" s="2439"/>
      <c r="C32" s="152">
        <f ca="1">IF(D32="总价",G19-C24,G20-C25)</f>
        <v>455895</v>
      </c>
      <c r="D32" s="2440" t="s">
        <v>2119</v>
      </c>
      <c r="E32" s="137"/>
      <c r="F32" s="137"/>
      <c r="G32" s="137"/>
      <c r="H32" s="137"/>
      <c r="I32" s="137"/>
    </row>
    <row r="33" spans="1:15" ht="15">
      <c r="A33" s="954" t="s">
        <v>2120</v>
      </c>
      <c r="B33" s="2441"/>
      <c r="C33" s="2442"/>
      <c r="D33" s="2443"/>
      <c r="E33" s="2444" t="s">
        <v>2121</v>
      </c>
      <c r="F33" s="2445" t="str">
        <f>IF(D32="楼面单价","取值（单价）","取值（总价）")</f>
        <v>取值（总价）</v>
      </c>
      <c r="G33" s="137"/>
      <c r="H33" s="137"/>
      <c r="I33" s="137"/>
    </row>
    <row r="34" spans="1:15" ht="15">
      <c r="A34" s="2446"/>
      <c r="B34" s="2447" t="s">
        <v>2122</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2123</v>
      </c>
      <c r="F34" s="1733"/>
      <c r="G34" s="137"/>
      <c r="H34" s="137"/>
      <c r="I34" s="137"/>
    </row>
    <row r="35" spans="1:15" ht="15.75" thickBot="1">
      <c r="A35" s="2449"/>
      <c r="B35" s="2450" t="s">
        <v>2124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2125</v>
      </c>
      <c r="F35" s="162"/>
      <c r="G35" s="137"/>
      <c r="H35" s="137"/>
      <c r="I35" s="137"/>
    </row>
    <row r="36" spans="1:15" ht="15.75" thickBot="1">
      <c r="A36" s="3148" t="s">
        <v>2126</v>
      </c>
      <c r="B36" s="2452" t="s">
        <v>2127</v>
      </c>
      <c r="C36" s="153"/>
      <c r="D36" s="2453"/>
      <c r="E36" s="2454"/>
      <c r="F36" s="2455"/>
      <c r="G36" s="137"/>
      <c r="H36" s="137"/>
      <c r="I36" s="137"/>
    </row>
    <row r="37" spans="1:15" ht="15.75" thickBot="1">
      <c r="A37" s="3149"/>
      <c r="B37" s="2262" t="s">
        <v>2128</v>
      </c>
      <c r="C37" s="155"/>
      <c r="D37" s="1389"/>
      <c r="E37" s="1389"/>
      <c r="F37" s="2455"/>
      <c r="G37" s="137"/>
      <c r="H37" s="137"/>
      <c r="I37" s="137"/>
    </row>
    <row r="38" spans="1:15" ht="15.75" thickBot="1">
      <c r="A38" s="3150"/>
      <c r="B38" s="2456" t="s">
        <v>2129</v>
      </c>
      <c r="C38" s="726"/>
      <c r="D38" s="2457" t="s">
        <v>2130</v>
      </c>
      <c r="E38" s="1389"/>
      <c r="F38" s="2455"/>
      <c r="G38" s="137"/>
      <c r="H38" s="137"/>
      <c r="I38" s="137"/>
    </row>
    <row r="39" spans="1:15" ht="15">
      <c r="A39" s="2428" t="s">
        <v>2131</v>
      </c>
      <c r="B39" s="2458" t="s">
        <v>2132</v>
      </c>
      <c r="C39" s="2459" t="s">
        <v>2133</v>
      </c>
      <c r="D39" s="2459" t="s">
        <v>2134</v>
      </c>
      <c r="E39" s="2460" t="s">
        <v>2135</v>
      </c>
      <c r="F39" s="2455"/>
      <c r="G39" s="137"/>
      <c r="H39" s="137"/>
      <c r="I39" s="137"/>
    </row>
    <row r="40" spans="1:15" ht="14.25">
      <c r="A40" s="2461" t="s">
        <v>2136</v>
      </c>
      <c r="B40" s="157"/>
      <c r="C40" s="158"/>
      <c r="D40" s="158"/>
      <c r="E40" s="159"/>
      <c r="F40" s="2455"/>
      <c r="G40" s="137"/>
      <c r="H40" s="137"/>
      <c r="I40" s="137"/>
    </row>
    <row r="41" spans="1:15" ht="14.25">
      <c r="A41" s="2461" t="s">
        <v>2137</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60"/>
      <c r="B43" s="2160"/>
      <c r="C43" s="2160"/>
      <c r="D43" s="2160"/>
      <c r="E43" s="2160"/>
      <c r="F43" s="2463"/>
      <c r="G43" s="2463"/>
      <c r="H43" s="2463"/>
      <c r="I43" s="2464"/>
    </row>
    <row r="44" spans="1:15" ht="18.75">
      <c r="A44" s="2465" t="s">
        <v>2138</v>
      </c>
      <c r="B44" s="2466"/>
      <c r="C44" s="2466"/>
      <c r="D44" s="2467"/>
      <c r="E44" s="2467"/>
      <c r="F44" s="2468"/>
      <c r="G44" s="2468"/>
      <c r="H44" s="2468"/>
      <c r="I44" s="2468"/>
      <c r="J44" s="2469" t="s">
        <v>2139</v>
      </c>
      <c r="K44" s="2470"/>
      <c r="L44" s="2470"/>
      <c r="M44" s="2470"/>
      <c r="N44" s="2470"/>
      <c r="O44" s="2470"/>
    </row>
    <row r="45" spans="1:15" ht="14.25" customHeight="1" thickBot="1">
      <c r="A45" s="3165" t="s">
        <v>2140</v>
      </c>
      <c r="B45" s="3166"/>
      <c r="C45" s="3167"/>
      <c r="D45" s="163">
        <f ca="1">ROUND(H101*F45,0)</f>
        <v>455895</v>
      </c>
      <c r="E45" s="164" t="s">
        <v>2141</v>
      </c>
      <c r="F45" s="165">
        <v>1</v>
      </c>
      <c r="G45" s="166" t="s">
        <v>2142</v>
      </c>
      <c r="H45" s="137"/>
      <c r="I45" s="137"/>
      <c r="J45" s="3084" t="s">
        <v>2143</v>
      </c>
      <c r="K45" s="3084"/>
      <c r="L45" s="3084"/>
      <c r="M45" s="3084"/>
      <c r="N45" s="3084"/>
      <c r="O45" s="3084"/>
    </row>
    <row r="46" spans="1:15" ht="14.25" customHeight="1">
      <c r="A46" s="3162" t="s">
        <v>2144</v>
      </c>
      <c r="B46" s="3163"/>
      <c r="C46" s="3163"/>
      <c r="D46" s="3163"/>
      <c r="E46" s="3163"/>
      <c r="F46" s="3163"/>
      <c r="G46" s="3164"/>
      <c r="H46" s="2471"/>
      <c r="I46" s="167"/>
      <c r="J46" s="1806">
        <v>1</v>
      </c>
      <c r="K46" s="3084" t="s">
        <v>2145</v>
      </c>
      <c r="L46" s="3084"/>
      <c r="M46" s="3085"/>
      <c r="N46" s="3085"/>
      <c r="O46" s="3085"/>
    </row>
    <row r="47" spans="1:15" ht="12" customHeight="1">
      <c r="A47" s="168" t="s">
        <v>2146</v>
      </c>
      <c r="B47" s="169"/>
      <c r="C47" s="170"/>
      <c r="D47" s="171" t="s">
        <v>2147</v>
      </c>
      <c r="E47" s="24" t="s">
        <v>2148</v>
      </c>
      <c r="F47" s="172" t="s">
        <v>2149</v>
      </c>
      <c r="G47" s="173" t="s">
        <v>2150</v>
      </c>
      <c r="H47" s="2471"/>
      <c r="I47" s="167"/>
      <c r="J47" s="1806">
        <v>2</v>
      </c>
      <c r="K47" s="3084" t="s">
        <v>2151</v>
      </c>
      <c r="L47" s="3084"/>
      <c r="M47" s="3086">
        <f>'数据-取费表'!B2</f>
        <v>43164</v>
      </c>
      <c r="N47" s="3086"/>
      <c r="O47" s="3086"/>
    </row>
    <row r="48" spans="1:15" ht="25.5">
      <c r="A48" s="3152" t="s">
        <v>2152</v>
      </c>
      <c r="B48" s="3153"/>
      <c r="C48" s="3153"/>
      <c r="D48" s="139">
        <f>IF(H48="情况1",0,IF(H48="情况2",D52,IF(H48="情况3",D53,IF(H48="情况4",D54))))</f>
        <v>0</v>
      </c>
      <c r="E48" s="1795" t="str">
        <f>IF(H48="情况4","(销售额-原购置价)×税（费）率","销售额×税（费）率")</f>
        <v>销售额×税（费）率</v>
      </c>
      <c r="F48" s="174" t="str">
        <f>IF(H48="情况1","免征",'数据-取费表'!B41)</f>
        <v>免征</v>
      </c>
      <c r="G48" s="2472" t="s">
        <v>2153</v>
      </c>
      <c r="H48" s="2473" t="s">
        <v>2154</v>
      </c>
      <c r="I48" s="2471"/>
      <c r="J48" s="1806">
        <v>3</v>
      </c>
      <c r="K48" s="3084" t="s">
        <v>2155</v>
      </c>
      <c r="L48" s="3084"/>
      <c r="M48" s="3087">
        <f ca="1">H101</f>
        <v>455895</v>
      </c>
      <c r="N48" s="3087"/>
      <c r="O48" s="3087"/>
    </row>
    <row r="49" spans="1:35" ht="25.5" customHeight="1">
      <c r="A49" s="175" t="s">
        <v>2156</v>
      </c>
      <c r="B49" s="3132" t="s">
        <v>2157</v>
      </c>
      <c r="C49" s="3132"/>
      <c r="D49" s="176">
        <v>0</v>
      </c>
      <c r="E49" s="23" t="s">
        <v>2158</v>
      </c>
      <c r="F49" s="28" t="s">
        <v>34</v>
      </c>
      <c r="G49" s="3113"/>
      <c r="H49" s="137"/>
      <c r="I49" s="2474"/>
      <c r="J49" s="1806">
        <v>4</v>
      </c>
      <c r="K49" s="3084" t="str">
        <f>IF(项目基本情况!E8="房地产抵押价值","房地产抵押价值","抵押担保权已注销时的房地产抵押价值")</f>
        <v>抵押担保权已注销时的房地产抵押价值</v>
      </c>
      <c r="L49" s="3084"/>
      <c r="M49" s="3087">
        <f ca="1">IF(项目基本情况!E8="房地产抵押价值",H107,H109)</f>
        <v>455895</v>
      </c>
      <c r="N49" s="3087"/>
      <c r="O49" s="3087"/>
    </row>
    <row r="50" spans="1:35" ht="25.5" customHeight="1">
      <c r="A50" s="177"/>
      <c r="B50" s="3132" t="s">
        <v>2159</v>
      </c>
      <c r="C50" s="3132"/>
      <c r="D50" s="178"/>
      <c r="E50" s="31"/>
      <c r="F50" s="179"/>
      <c r="G50" s="3114"/>
      <c r="H50" s="137"/>
      <c r="I50" s="2474"/>
      <c r="J50" s="3084" t="s">
        <v>2160</v>
      </c>
      <c r="K50" s="3084"/>
      <c r="L50" s="3084"/>
      <c r="M50" s="3084"/>
      <c r="N50" s="3084"/>
      <c r="O50" s="3084"/>
    </row>
    <row r="51" spans="1:35" ht="12" customHeight="1">
      <c r="A51" s="180"/>
      <c r="B51" s="3132" t="s">
        <v>2161</v>
      </c>
      <c r="C51" s="3132"/>
      <c r="D51" s="181"/>
      <c r="E51" s="30"/>
      <c r="F51" s="179"/>
      <c r="G51" s="3115"/>
      <c r="H51" s="137"/>
      <c r="I51" s="2474"/>
      <c r="J51" s="2475" t="s">
        <v>2162</v>
      </c>
      <c r="K51" s="3084" t="s">
        <v>2163</v>
      </c>
      <c r="L51" s="3084"/>
      <c r="M51" s="2475" t="s">
        <v>2164</v>
      </c>
      <c r="N51" s="2475" t="s">
        <v>2165</v>
      </c>
      <c r="O51" s="2475" t="s">
        <v>2166</v>
      </c>
    </row>
    <row r="52" spans="1:35" ht="24" customHeight="1">
      <c r="A52" s="182" t="s">
        <v>2167</v>
      </c>
      <c r="B52" s="3132" t="s">
        <v>2168</v>
      </c>
      <c r="C52" s="3132"/>
      <c r="D52" s="181">
        <f ca="1">ROUND(D45*'数据-取费表'!B41/(1+'数据-取费表'!C42),0)</f>
        <v>24314</v>
      </c>
      <c r="E52" s="11" t="s">
        <v>2169</v>
      </c>
      <c r="F52" s="183">
        <f>'数据-取费表'!B41</f>
        <v>5.6000000000000001E-2</v>
      </c>
      <c r="G52" s="2476"/>
      <c r="H52" s="137"/>
      <c r="I52" s="2474"/>
      <c r="J52" s="1806">
        <v>1</v>
      </c>
      <c r="K52" s="3107" t="s">
        <v>2170</v>
      </c>
      <c r="L52" s="3107"/>
      <c r="M52" s="1748">
        <f>D48</f>
        <v>0</v>
      </c>
      <c r="N52" s="1806" t="str">
        <f>E48</f>
        <v>销售额×税（费）率</v>
      </c>
      <c r="O52" s="1749" t="str">
        <f>F48</f>
        <v>免征</v>
      </c>
    </row>
    <row r="53" spans="1:35" ht="12" customHeight="1">
      <c r="A53" s="182" t="s">
        <v>2171</v>
      </c>
      <c r="B53" s="3133" t="s">
        <v>2172</v>
      </c>
      <c r="C53" s="3134"/>
      <c r="D53" s="181">
        <f ca="1">ROUND(D45*'数据-取费表'!B41/(1+'数据-取费表'!C42),0)</f>
        <v>24314</v>
      </c>
      <c r="E53" s="11" t="s">
        <v>2169</v>
      </c>
      <c r="F53" s="183">
        <f>'数据-取费表'!B41</f>
        <v>5.6000000000000001E-2</v>
      </c>
      <c r="G53" s="2476"/>
      <c r="H53" s="137"/>
      <c r="I53" s="2474"/>
      <c r="J53" s="1806">
        <v>2</v>
      </c>
      <c r="K53" s="3107" t="s">
        <v>2173</v>
      </c>
      <c r="L53" s="3107"/>
      <c r="M53" s="1748">
        <f t="shared" ref="M53:O54" ca="1" si="0">D55</f>
        <v>228</v>
      </c>
      <c r="N53" s="1806" t="str">
        <f t="shared" si="0"/>
        <v>销售额×税（费）率</v>
      </c>
      <c r="O53" s="1749">
        <f t="shared" si="0"/>
        <v>5.0000000000000001E-4</v>
      </c>
    </row>
    <row r="54" spans="1:35" ht="12" customHeight="1">
      <c r="A54" s="182" t="s">
        <v>2174</v>
      </c>
      <c r="B54" s="3133" t="s">
        <v>2175</v>
      </c>
      <c r="C54" s="3134"/>
      <c r="D54" s="181">
        <f ca="1">C68</f>
        <v>24314</v>
      </c>
      <c r="E54" s="30" t="s">
        <v>2176</v>
      </c>
      <c r="F54" s="183">
        <f>'数据-取费表'!B41</f>
        <v>5.6000000000000001E-2</v>
      </c>
      <c r="G54" s="2476"/>
      <c r="H54" s="2477"/>
      <c r="I54" s="2474"/>
      <c r="J54" s="1806">
        <v>3</v>
      </c>
      <c r="K54" s="3107" t="s">
        <v>2177</v>
      </c>
      <c r="L54" s="3107"/>
      <c r="M54" s="1748">
        <f t="shared" ca="1" si="0"/>
        <v>258037</v>
      </c>
      <c r="N54" s="1806" t="str">
        <f t="shared" si="0"/>
        <v>增值额×税（费）率</v>
      </c>
      <c r="O54" s="1750" t="str">
        <f t="shared" si="0"/>
        <v>——</v>
      </c>
    </row>
    <row r="55" spans="1:35" ht="24" customHeight="1">
      <c r="A55" s="3171" t="s">
        <v>2178</v>
      </c>
      <c r="B55" s="3153"/>
      <c r="C55" s="3153"/>
      <c r="D55" s="184">
        <f ca="1">IF(H55="个人住宅",0,ROUND(D45*I55,0))</f>
        <v>228</v>
      </c>
      <c r="E55" s="11" t="s">
        <v>2179</v>
      </c>
      <c r="F55" s="183">
        <f>IF(H55="正常",I55,"免征")</f>
        <v>5.0000000000000001E-4</v>
      </c>
      <c r="G55" s="2476"/>
      <c r="H55" s="2473" t="s">
        <v>2180</v>
      </c>
      <c r="I55" s="185">
        <f>'数据-取费表'!B49</f>
        <v>5.0000000000000001E-4</v>
      </c>
      <c r="J55" s="1806" t="str">
        <f>IF(H59="非个人房产","",4)</f>
        <v/>
      </c>
      <c r="K55" s="3107" t="str">
        <f>IF(H59="非个人房产","——","个人所得税")</f>
        <v>——</v>
      </c>
      <c r="L55" s="3107"/>
      <c r="M55" s="1751" t="str">
        <f>D59</f>
        <v>——</v>
      </c>
      <c r="N55" s="1804" t="str">
        <f>E59</f>
        <v>——</v>
      </c>
      <c r="O55" s="1752" t="str">
        <f>F59</f>
        <v>——</v>
      </c>
    </row>
    <row r="56" spans="1:35" ht="24.75">
      <c r="A56" s="3171" t="s">
        <v>2181</v>
      </c>
      <c r="B56" s="3153"/>
      <c r="C56" s="3153"/>
      <c r="D56" s="184">
        <f ca="1">IF(H56="个人住宅",D57,D58)</f>
        <v>258037</v>
      </c>
      <c r="E56" s="11" t="s">
        <v>2182</v>
      </c>
      <c r="F56" s="183" t="str">
        <f>IF(H56="正常",F58,"免征")</f>
        <v>——</v>
      </c>
      <c r="G56" s="2478" t="s">
        <v>2183</v>
      </c>
      <c r="H56" s="2479" t="s">
        <v>2180</v>
      </c>
      <c r="I56" s="2480"/>
      <c r="J56" s="1806" t="str">
        <f>IF(项目基本情况!K6="上海银行",IF(J55="",4,J55+1),"")</f>
        <v/>
      </c>
      <c r="K56" s="3090" t="str">
        <f>IF(项目基本情况!K6="上海银行","其他处置费用","")</f>
        <v/>
      </c>
      <c r="L56" s="3091"/>
      <c r="M56" s="1748" t="str">
        <f>IF(项目基本情况!K6="上海银行",M69,"")</f>
        <v/>
      </c>
      <c r="N56" s="3093" t="str">
        <f>IF(项目基本情况!K6="上海银行","包含处置中涉及的律师、诉讼、拍卖、评估等费用","")</f>
        <v/>
      </c>
      <c r="O56" s="3094"/>
    </row>
    <row r="57" spans="1:35" ht="12.75">
      <c r="A57" s="182" t="s">
        <v>2156</v>
      </c>
      <c r="B57" s="3138" t="s">
        <v>2184</v>
      </c>
      <c r="C57" s="3139"/>
      <c r="D57" s="186">
        <v>0</v>
      </c>
      <c r="E57" s="23" t="s">
        <v>2158</v>
      </c>
      <c r="F57" s="154"/>
      <c r="G57" s="2476"/>
      <c r="H57" s="2480"/>
      <c r="I57" s="2480"/>
      <c r="J57" s="3107">
        <f>IF(AND(J55="",J56=""),4,IF(项目基本情况!K6="上海银行",结果表!J56+1,结果表!J55+1))</f>
        <v>4</v>
      </c>
      <c r="K57" s="3107" t="s">
        <v>2185</v>
      </c>
      <c r="L57" s="2481" t="s">
        <v>2186</v>
      </c>
      <c r="M57" s="1753"/>
      <c r="N57" s="1754">
        <f ca="1">SUMIF(M52:M56,"&lt;9e307")</f>
        <v>258265</v>
      </c>
      <c r="O57" s="2482"/>
      <c r="P57" s="1747">
        <f ca="1">N57/M49</f>
        <v>0.5665010583577359</v>
      </c>
    </row>
    <row r="58" spans="1:35" ht="24.75">
      <c r="A58" s="182" t="s">
        <v>2167</v>
      </c>
      <c r="B58" s="3138" t="s">
        <v>2187</v>
      </c>
      <c r="C58" s="3151"/>
      <c r="D58" s="184">
        <f ca="1">IF(H58="转让取得",C81,C97)</f>
        <v>258037</v>
      </c>
      <c r="E58" s="11" t="s">
        <v>2182</v>
      </c>
      <c r="F58" s="24" t="s">
        <v>34</v>
      </c>
      <c r="G58" s="2476"/>
      <c r="H58" s="2479" t="s">
        <v>2188</v>
      </c>
      <c r="I58" s="2480"/>
      <c r="J58" s="3107"/>
      <c r="K58" s="3107"/>
      <c r="L58" s="2481" t="s">
        <v>2189</v>
      </c>
      <c r="M58" s="1755"/>
      <c r="N58" s="2483" t="str">
        <f ca="1">NUMBERSTRING(INT(N57*10000),2)&amp;"元整"</f>
        <v>贰拾伍亿捌仟贰佰陆拾伍万元整</v>
      </c>
      <c r="O58" s="2484"/>
    </row>
    <row r="59" spans="1:35" ht="24.75" thickBot="1">
      <c r="A59" s="3111" t="s">
        <v>2190</v>
      </c>
      <c r="B59" s="3112"/>
      <c r="C59" s="3112"/>
      <c r="D59" s="187" t="str">
        <f>IF(H59="非个人房产","——",IF(H59="个人住宅",0,ROUND(D45*I59,0)))</f>
        <v>——</v>
      </c>
      <c r="E59" s="188" t="str">
        <f>IF(H59="非个人房产","——","销售额×税（费）率")</f>
        <v>——</v>
      </c>
      <c r="F59" s="189" t="str">
        <f>IF(H59="非个人房产","——",IF(H59="个人住宅","免征",I59))</f>
        <v>——</v>
      </c>
      <c r="G59" s="2485" t="s">
        <v>2183</v>
      </c>
      <c r="H59" s="2479" t="s">
        <v>2191</v>
      </c>
      <c r="I59" s="190">
        <v>0.01</v>
      </c>
      <c r="J59" s="3109">
        <f>J57+1</f>
        <v>5</v>
      </c>
      <c r="K59" s="3107" t="s">
        <v>2192</v>
      </c>
      <c r="L59" s="1806" t="s">
        <v>2186</v>
      </c>
      <c r="M59" s="1756"/>
      <c r="N59" s="1757">
        <f ca="1">M49-N57</f>
        <v>197630</v>
      </c>
      <c r="O59" s="2486"/>
    </row>
    <row r="60" spans="1:35" ht="12" customHeight="1">
      <c r="A60" s="2487"/>
      <c r="B60" s="2409"/>
      <c r="C60" s="2409"/>
      <c r="D60" s="2409"/>
      <c r="E60" s="2161"/>
      <c r="F60" s="2480"/>
      <c r="G60" s="2480"/>
      <c r="H60" s="2488"/>
      <c r="I60" s="137"/>
      <c r="J60" s="3110"/>
      <c r="K60" s="3107"/>
      <c r="L60" s="2481" t="s">
        <v>2189</v>
      </c>
      <c r="M60" s="1755"/>
      <c r="N60" s="2483" t="str">
        <f ca="1">NUMBERSTRING(INT(N59*10000),2)&amp;"元整"</f>
        <v>壹拾玖亿柒仟陆佰叁拾万元整</v>
      </c>
      <c r="O60" s="2484"/>
    </row>
    <row r="61" spans="1:35" ht="13.5" thickBot="1">
      <c r="A61" s="3170" t="s">
        <v>2193</v>
      </c>
      <c r="B61" s="3170"/>
      <c r="C61" s="3170"/>
      <c r="D61" s="3170"/>
      <c r="E61" s="3170"/>
      <c r="F61" s="2480"/>
      <c r="G61" s="2480"/>
      <c r="H61" s="2488"/>
      <c r="I61" s="137"/>
      <c r="J61" s="1806">
        <f>J59+1</f>
        <v>6</v>
      </c>
      <c r="K61" s="3107" t="s">
        <v>2194</v>
      </c>
      <c r="L61" s="3107"/>
      <c r="M61" s="1758"/>
      <c r="N61" s="1759">
        <f ca="1">ROUND(N59*10000/'数据-汇总表'!E3,0)</f>
        <v>16403</v>
      </c>
      <c r="O61" s="2489"/>
    </row>
    <row r="62" spans="1:35" ht="12.75">
      <c r="A62" s="3127" t="s">
        <v>2195</v>
      </c>
      <c r="B62" s="3128"/>
      <c r="C62" s="1798"/>
      <c r="D62" s="1798" t="s">
        <v>2196</v>
      </c>
      <c r="E62" s="191" t="s">
        <v>2197</v>
      </c>
      <c r="F62" s="2480"/>
      <c r="G62" s="2480"/>
      <c r="H62" s="2488"/>
      <c r="I62" s="137"/>
    </row>
    <row r="63" spans="1:35" ht="12.75">
      <c r="A63" s="202" t="s">
        <v>775</v>
      </c>
      <c r="B63" s="192" t="s">
        <v>2198</v>
      </c>
      <c r="C63" s="193">
        <f ca="1">ROUND((C64+C65)/(1+'数据-取费表'!C42),0)</f>
        <v>434186</v>
      </c>
      <c r="D63" s="194"/>
      <c r="E63" s="195"/>
      <c r="F63" s="2480"/>
      <c r="G63" s="2480"/>
      <c r="H63" s="2488"/>
      <c r="I63" s="137"/>
      <c r="J63" s="3092" t="s">
        <v>2199</v>
      </c>
      <c r="K63" s="2490" t="s">
        <v>2200</v>
      </c>
      <c r="L63" s="1746">
        <f ca="1">IF(M49&gt;10000,M49*0.5%,IF(AND(M49&gt;1000,M49&lt;=10000),M49*1%,IF(AND(M49&gt;100,M49&lt;=1000),M49*3%,IF(AND(M49&gt;10,M49&lt;=100),M49*5%,M49*8%))))</f>
        <v>2279.4749999999999</v>
      </c>
      <c r="M63" s="24">
        <f ca="1">ROUND(L63,1)</f>
        <v>2279.5</v>
      </c>
      <c r="Z63" s="2414"/>
      <c r="AI63" s="2415"/>
    </row>
    <row r="64" spans="1:35" ht="14.25" customHeight="1">
      <c r="A64" s="196" t="s">
        <v>770</v>
      </c>
      <c r="B64" s="197" t="s">
        <v>2201</v>
      </c>
      <c r="C64" s="198">
        <f ca="1">D45</f>
        <v>455895</v>
      </c>
      <c r="D64" s="199" t="s">
        <v>32</v>
      </c>
      <c r="E64" s="200"/>
      <c r="F64" s="2480"/>
      <c r="G64" s="2480"/>
      <c r="H64" s="2488"/>
      <c r="I64" s="137"/>
      <c r="J64" s="3092"/>
      <c r="K64" s="2490" t="s">
        <v>2202</v>
      </c>
      <c r="L64" s="1746">
        <f ca="1">IF(M49&gt;2000,M49*0.5%,IF(AND(M49&gt;1000,M49&lt;=2000),M49*0.6%,IF(AND(M49&gt;500,M49&lt;=1000),M49*0.7%,IF(AND(M49&gt;200,M49&lt;=500),M49*0.8%,IF(AND(M49&gt;100,M49&lt;=200),M49*0.9%,IF(AND(M49&gt;50,M49&lt;=100),M49*1%,IF(AND(M49&gt;20,M49&lt;=50),M49*1.5%,IF(AND(M49&gt;10,M49&lt;=20),M49*2%,IF(AND(M49&gt;1,M49&lt;=10),M49*2.5%)))))))))</f>
        <v>2279.4749999999999</v>
      </c>
      <c r="M64" s="24">
        <f t="shared" ref="M64:M65" ca="1" si="1">ROUND(L64,1)</f>
        <v>2279.5</v>
      </c>
      <c r="N64" s="137" t="s">
        <v>2203</v>
      </c>
      <c r="Z64" s="2414"/>
      <c r="AI64" s="2415"/>
    </row>
    <row r="65" spans="1:35" ht="14.25" customHeight="1">
      <c r="A65" s="196" t="s">
        <v>771</v>
      </c>
      <c r="B65" s="197" t="s">
        <v>2204</v>
      </c>
      <c r="C65" s="201"/>
      <c r="D65" s="199"/>
      <c r="E65" s="200"/>
      <c r="F65" s="2480"/>
      <c r="G65" s="2480"/>
      <c r="H65" s="2488"/>
      <c r="I65" s="137"/>
      <c r="J65" s="3092"/>
      <c r="K65" s="2490" t="s">
        <v>2205</v>
      </c>
      <c r="L65" s="1746">
        <f ca="1">IF(M49&gt;1000,M49*0.1%,IF(AND(M49&gt;500,M49&lt;=1000),M49*0.5%,IF(AND(M49&gt;50,M49&lt;=500),M49*1%,IF(AND(M49&gt;1,M49&lt;=50),M49*1.5%))))</f>
        <v>455.89499999999998</v>
      </c>
      <c r="M65" s="24">
        <f t="shared" ca="1" si="1"/>
        <v>455.9</v>
      </c>
      <c r="N65" s="137" t="s">
        <v>2203</v>
      </c>
      <c r="Z65" s="2414"/>
      <c r="AI65" s="2415"/>
    </row>
    <row r="66" spans="1:35" ht="14.25" customHeight="1">
      <c r="A66" s="202" t="s">
        <v>772</v>
      </c>
      <c r="B66" s="203" t="s">
        <v>2206</v>
      </c>
      <c r="C66" s="204"/>
      <c r="D66" s="205" t="s">
        <v>32</v>
      </c>
      <c r="E66" s="1770" t="s">
        <v>1369</v>
      </c>
      <c r="F66" s="2480"/>
      <c r="G66" s="2480"/>
      <c r="H66" s="2488"/>
      <c r="I66" s="137"/>
      <c r="J66" s="3092"/>
      <c r="K66" s="2490" t="s">
        <v>2207</v>
      </c>
      <c r="L66" s="1746">
        <f ca="1">M49*0.5%</f>
        <v>2279.4749999999999</v>
      </c>
      <c r="M66" s="24">
        <f ca="1">IF(L66&gt;0.5,0.5,ROUND(L66,0))</f>
        <v>0.5</v>
      </c>
      <c r="N66" s="137" t="s">
        <v>2208</v>
      </c>
      <c r="Z66" s="2414"/>
      <c r="AI66" s="2415"/>
    </row>
    <row r="67" spans="1:35" ht="14.25" customHeight="1">
      <c r="A67" s="202" t="s">
        <v>773</v>
      </c>
      <c r="B67" s="203" t="s">
        <v>2209</v>
      </c>
      <c r="C67" s="206">
        <f ca="1">C63-C66</f>
        <v>434186</v>
      </c>
      <c r="D67" s="199" t="s">
        <v>32</v>
      </c>
      <c r="E67" s="200"/>
      <c r="F67" s="2480"/>
      <c r="G67" s="2480"/>
      <c r="H67" s="2488"/>
      <c r="I67" s="137"/>
      <c r="J67" s="3092"/>
      <c r="K67" s="2490" t="s">
        <v>2210</v>
      </c>
      <c r="L67" s="1746">
        <f ca="1">IF(M49&gt;=10000,(8.25+(M49-10000)*0.01%),IF(AND(M49&gt;=8000,M49&lt;10000),(7.85+(M49-8000)*0.02%),IF(AND(M49&gt;=5000,M49&lt;8000),(6.65+(M49-5000)*0.04%),IF(AND(M49&gt;=2000,M49&lt;5000),(4.25+(PM49-2000)*0.08%),IF(AND(M49&gt;=1000,M49&lt;2000),(2.75+(M49-1000)*0.15%),IF(AND(M49&gt;=100,M49&lt;1000),(0.5+(M49-100)*0.25%),IF(AND(M49&gt;0,M49&lt;100),M49*0.5%)))))))</f>
        <v>52.839500000000001</v>
      </c>
      <c r="M67" s="24">
        <f ca="1">ROUND(L67*0.9,1)</f>
        <v>47.6</v>
      </c>
      <c r="Z67" s="2414"/>
      <c r="AI67" s="2415"/>
    </row>
    <row r="68" spans="1:35" ht="14.25" customHeight="1" thickBot="1">
      <c r="A68" s="207" t="s">
        <v>774</v>
      </c>
      <c r="B68" s="208" t="s">
        <v>2211</v>
      </c>
      <c r="C68" s="209">
        <f ca="1">IF(C67&lt;=0,0,ROUND(C67*D68,0))</f>
        <v>24314</v>
      </c>
      <c r="D68" s="210">
        <f>'数据-取费表'!B41</f>
        <v>5.6000000000000001E-2</v>
      </c>
      <c r="E68" s="211"/>
      <c r="F68" s="2480"/>
      <c r="G68" s="2480"/>
      <c r="H68" s="2488"/>
      <c r="I68" s="137"/>
      <c r="J68" s="3092"/>
      <c r="K68" s="2490" t="s">
        <v>2212</v>
      </c>
      <c r="L68" s="1746">
        <f ca="1">IF(M49&gt;10000,M49*0.5%,IF(AND(M49&gt;5000,M49&lt;=10000),M49*1%,IF(AND(M49&gt;1000,M49&lt;=5000),M49*2%,IF(AND(M49&gt;200,M49&lt;=1000),M49*3%,M49*5%))))</f>
        <v>2279.4749999999999</v>
      </c>
      <c r="M68" s="24">
        <f ca="1">ROUND(L68,1)</f>
        <v>2279.5</v>
      </c>
      <c r="Z68" s="2414"/>
      <c r="AI68" s="2415"/>
    </row>
    <row r="69" spans="1:35" s="2437" customFormat="1" ht="16.5" customHeight="1">
      <c r="A69" s="2491"/>
      <c r="B69" s="2492"/>
      <c r="C69" s="2493"/>
      <c r="D69" s="2494"/>
      <c r="E69" s="2495"/>
      <c r="F69" s="2161"/>
      <c r="G69" s="2161"/>
      <c r="H69" s="2160"/>
      <c r="I69" s="2409"/>
      <c r="J69" s="3092"/>
      <c r="K69" s="2490" t="s">
        <v>2213</v>
      </c>
      <c r="L69" s="2496"/>
      <c r="M69" s="24">
        <f ca="1">ROUND(SUM(M63:M68),0)</f>
        <v>7343</v>
      </c>
      <c r="N69" s="1747">
        <f ca="1">M69/M49</f>
        <v>1.6106778973228486E-2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36" t="s">
        <v>2214</v>
      </c>
      <c r="B70" s="3137"/>
      <c r="C70" s="3137"/>
      <c r="D70" s="3137"/>
      <c r="E70" s="3137"/>
      <c r="F70" s="3137"/>
      <c r="G70" s="3137"/>
      <c r="H70" s="313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27" t="s">
        <v>2195</v>
      </c>
      <c r="B71" s="3128"/>
      <c r="C71" s="1798"/>
      <c r="D71" s="1798" t="s">
        <v>2196</v>
      </c>
      <c r="E71" s="212" t="s">
        <v>2197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2215</v>
      </c>
      <c r="C72" s="206">
        <f ca="1">ROUND(D45/(1+'数据-取费表'!C42),0)</f>
        <v>434186</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2216</v>
      </c>
      <c r="C73" s="206">
        <f ca="1">C74+C78</f>
        <v>2605</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2217</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2218</v>
      </c>
      <c r="C75" s="217"/>
      <c r="D75" s="199" t="s">
        <v>32</v>
      </c>
      <c r="E75" s="218" t="s">
        <v>2219</v>
      </c>
      <c r="F75" s="2502" t="s">
        <v>2220</v>
      </c>
      <c r="G75" s="218" t="s">
        <v>2221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2222</v>
      </c>
      <c r="C76" s="199">
        <f>IF(F75="购房发票",ROUND(C75*H75*D76,0),0)</f>
        <v>0</v>
      </c>
      <c r="D76" s="221">
        <v>0.05</v>
      </c>
      <c r="E76" s="3133" t="s">
        <v>2223</v>
      </c>
      <c r="F76" s="3132"/>
      <c r="G76" s="3132"/>
      <c r="H76" s="313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2224</v>
      </c>
      <c r="C77" s="199">
        <f>ROUND(IF(G77="个人住宅",0,IF(G77="2016年5月1日前购买",C75*D77,C75*D77/(1+'数据-取费表'!C42))),0)</f>
        <v>0</v>
      </c>
      <c r="D77" s="222">
        <f>'数据-取费表'!B48+'数据-取费表'!B49</f>
        <v>3.0499999999999999E-2</v>
      </c>
      <c r="E77" s="15" t="s">
        <v>2225</v>
      </c>
      <c r="F77" s="223"/>
      <c r="G77" s="2504" t="s">
        <v>2226</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2227</v>
      </c>
      <c r="C78" s="224">
        <f ca="1">ROUND(D45*D78/(1+'数据-取费表'!C42),0)</f>
        <v>2605</v>
      </c>
      <c r="D78" s="225">
        <f>'数据-取费表'!B43</f>
        <v>6.000000000000001E-3</v>
      </c>
      <c r="E78" s="3124" t="s">
        <v>2228</v>
      </c>
      <c r="F78" s="3125"/>
      <c r="G78" s="3125"/>
      <c r="H78" s="312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2229</v>
      </c>
      <c r="C79" s="206">
        <f ca="1">C72-C73</f>
        <v>431581</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2230</v>
      </c>
      <c r="C80" s="226">
        <f ca="1">IF(C79&lt;=0,0,C79/C73)</f>
        <v>165.67408829174664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2231</v>
      </c>
      <c r="C81" s="227">
        <f ca="1">ROUND(IF(C79&lt;=0,0,IF(C80&gt;=200%,C79*60%-C73*35%,IF(C80&gt;=100%,C79*50%-C73*15%,IF(C80&gt;=50%,C79*40%-C73*5%,IF(C80&lt;50%,C79*30%,0))))),0)</f>
        <v>258037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36" t="s">
        <v>2232</v>
      </c>
      <c r="B83" s="3137"/>
      <c r="C83" s="3137"/>
      <c r="D83" s="3137"/>
      <c r="E83" s="3137"/>
      <c r="F83" s="3137"/>
      <c r="G83" s="3137"/>
      <c r="H83" s="313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27" t="s">
        <v>2195</v>
      </c>
      <c r="B84" s="3128"/>
      <c r="C84" s="1798"/>
      <c r="D84" s="1798" t="s">
        <v>2196</v>
      </c>
      <c r="E84" s="212" t="s">
        <v>2197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2215</v>
      </c>
      <c r="C85" s="206">
        <f ca="1">ROUND(D45/(1+'数据-取费表'!C42),0)</f>
        <v>434186</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2216</v>
      </c>
      <c r="C86" s="206">
        <f ca="1">IF(H88="仅含出让金",C87+C90+C91+C92+C93+C94,C87+C91+C92+C93+C94)</f>
        <v>2605</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2233</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2234</v>
      </c>
      <c r="C88" s="235"/>
      <c r="D88" s="225"/>
      <c r="E88" s="236" t="s">
        <v>2235</v>
      </c>
      <c r="F88" s="1794"/>
      <c r="G88" s="237" t="s">
        <v>2236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2224</v>
      </c>
      <c r="C89" s="224">
        <f>ROUND(C88*D89,0)</f>
        <v>0</v>
      </c>
      <c r="D89" s="225">
        <f>'数据-取费表'!B48+'数据-取费表'!B49</f>
        <v>3.0499999999999999E-2</v>
      </c>
      <c r="E89" s="236" t="s">
        <v>2237</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2238</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2239</v>
      </c>
      <c r="B91" s="197" t="s">
        <v>2240</v>
      </c>
      <c r="C91" s="224">
        <f>IF(H91="——",成本法!C33,I91)</f>
        <v>0</v>
      </c>
      <c r="D91" s="225"/>
      <c r="E91" s="3124" t="s">
        <v>2241</v>
      </c>
      <c r="F91" s="3125"/>
      <c r="G91" s="3125"/>
      <c r="H91" s="2509" t="s">
        <v>2242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2243</v>
      </c>
      <c r="B92" s="197" t="s">
        <v>2244</v>
      </c>
      <c r="C92" s="224">
        <f>ROUND((C87+C90+C91)*D92,0)</f>
        <v>0</v>
      </c>
      <c r="D92" s="225">
        <v>0.1</v>
      </c>
      <c r="E92" s="3124" t="s">
        <v>2245</v>
      </c>
      <c r="F92" s="3125"/>
      <c r="G92" s="3125"/>
      <c r="H92" s="312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2246</v>
      </c>
      <c r="B93" s="197" t="s">
        <v>2227</v>
      </c>
      <c r="C93" s="224">
        <f ca="1">ROUND(D45*D93/(1+'数据-取费表'!C42),0)</f>
        <v>2605</v>
      </c>
      <c r="D93" s="225">
        <f>'数据-取费表'!B43</f>
        <v>6.000000000000001E-3</v>
      </c>
      <c r="E93" s="3124" t="s">
        <v>2228</v>
      </c>
      <c r="F93" s="3125"/>
      <c r="G93" s="3125"/>
      <c r="H93" s="312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2247</v>
      </c>
      <c r="B94" s="197" t="s">
        <v>2248</v>
      </c>
      <c r="C94" s="235">
        <f>ROUND((C87+C90+C91)*D94,0)</f>
        <v>0</v>
      </c>
      <c r="D94" s="225">
        <v>0.2</v>
      </c>
      <c r="E94" s="3172" t="s">
        <v>2249</v>
      </c>
      <c r="F94" s="3173"/>
      <c r="G94" s="3173"/>
      <c r="H94" s="317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2229</v>
      </c>
      <c r="C95" s="206">
        <f ca="1">ROUND(C85-C86,0)</f>
        <v>431581</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2230</v>
      </c>
      <c r="C96" s="226">
        <f ca="1">IF(C95&lt;=0,0,C95/C86)</f>
        <v>165.67408829174664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2231</v>
      </c>
      <c r="C97" s="227">
        <f ca="1">ROUND(IF(C95&lt;=0,0,IF(C96&gt;=200%,C95*60%-C86*35%,IF(C96&gt;=100%,C95*50%-C86*15%,IF(C96&gt;=50%,C95*40%-C86*5%,IF(C96&lt;50%,C95*30%,0))))),0)</f>
        <v>258037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1"/>
      <c r="F98" s="2161"/>
      <c r="G98" s="2161"/>
      <c r="H98" s="2160"/>
      <c r="I98" s="137"/>
    </row>
    <row r="99" spans="1:35" ht="21.75" customHeight="1" thickBot="1">
      <c r="A99" s="2465" t="s">
        <v>2250</v>
      </c>
      <c r="B99" s="2409"/>
      <c r="C99" s="2409"/>
      <c r="D99" s="2409"/>
      <c r="E99" s="2161"/>
      <c r="F99" s="2161"/>
      <c r="G99" s="2161"/>
      <c r="H99" s="2160"/>
      <c r="I99" s="137"/>
    </row>
    <row r="100" spans="1:35" ht="18.75" customHeight="1">
      <c r="A100" s="3076" t="s">
        <v>2251</v>
      </c>
      <c r="B100" s="3077"/>
      <c r="C100" s="3077"/>
      <c r="D100" s="3108"/>
      <c r="E100" s="3077" t="s">
        <v>2252</v>
      </c>
      <c r="F100" s="3077"/>
      <c r="G100" s="3077"/>
      <c r="H100" s="3108"/>
      <c r="I100" s="137"/>
    </row>
    <row r="101" spans="1:35" ht="18.75" customHeight="1">
      <c r="A101" s="3116" t="s">
        <v>2253</v>
      </c>
      <c r="B101" s="3117"/>
      <c r="C101" s="735" t="str">
        <f>C4</f>
        <v>成本法</v>
      </c>
      <c r="D101" s="736" t="str">
        <f>D4</f>
        <v>收益法（汇总）</v>
      </c>
      <c r="E101" s="3088" t="s">
        <v>2254</v>
      </c>
      <c r="F101" s="3089"/>
      <c r="G101" s="2511" t="s">
        <v>2255</v>
      </c>
      <c r="H101" s="1042">
        <f ca="1">H118</f>
        <v>455895</v>
      </c>
      <c r="I101" s="137"/>
    </row>
    <row r="102" spans="1:35" ht="18.75" customHeight="1">
      <c r="A102" s="3118" t="s">
        <v>2256</v>
      </c>
      <c r="B102" s="2511" t="s">
        <v>2255</v>
      </c>
      <c r="C102" s="735">
        <f ca="1">C19</f>
        <v>348511</v>
      </c>
      <c r="D102" s="736">
        <f ca="1">D19</f>
        <v>501917</v>
      </c>
      <c r="E102" s="3088"/>
      <c r="F102" s="3089"/>
      <c r="G102" s="2511" t="s">
        <v>2257</v>
      </c>
      <c r="H102" s="370">
        <f ca="1">I118</f>
        <v>37837</v>
      </c>
      <c r="I102" s="137"/>
    </row>
    <row r="103" spans="1:35" ht="42.75" customHeight="1">
      <c r="A103" s="3118"/>
      <c r="B103" s="2511" t="s">
        <v>2257</v>
      </c>
      <c r="C103" s="737">
        <f ca="1">C20</f>
        <v>28925</v>
      </c>
      <c r="D103" s="738">
        <f ca="1">D20</f>
        <v>41657</v>
      </c>
      <c r="E103" s="3082" t="s">
        <v>2258</v>
      </c>
      <c r="F103" s="3083"/>
      <c r="G103" s="2512" t="s">
        <v>2259</v>
      </c>
      <c r="H103" s="1042">
        <f>IF(D36="正常操作",H104+H105+H106,H105+H106)</f>
        <v>0</v>
      </c>
      <c r="I103" s="137"/>
    </row>
    <row r="104" spans="1:35" ht="18.75" customHeight="1">
      <c r="A104" s="3118" t="s">
        <v>2260</v>
      </c>
      <c r="B104" s="2513" t="s">
        <v>2255</v>
      </c>
      <c r="C104" s="739">
        <f ca="1">H118</f>
        <v>455895</v>
      </c>
      <c r="D104" s="740"/>
      <c r="E104" s="2262" t="s">
        <v>2261</v>
      </c>
      <c r="F104" s="2253"/>
      <c r="G104" s="2512" t="s">
        <v>2259</v>
      </c>
      <c r="H104" s="1043">
        <f>IF(D36="同一抵押权人同一抵押物续贷",C36&amp;"（未扣减，详见特别提示）",C36)</f>
        <v>0</v>
      </c>
      <c r="I104" s="137"/>
    </row>
    <row r="105" spans="1:35" ht="18.75" customHeight="1" thickBot="1">
      <c r="A105" s="3130"/>
      <c r="B105" s="2514" t="s">
        <v>2257</v>
      </c>
      <c r="C105" s="741">
        <f ca="1">I118</f>
        <v>37837</v>
      </c>
      <c r="D105" s="742"/>
      <c r="E105" s="2262" t="s">
        <v>2262</v>
      </c>
      <c r="F105" s="2253"/>
      <c r="G105" s="2512" t="s">
        <v>2259</v>
      </c>
      <c r="H105" s="1043">
        <f>C37</f>
        <v>0</v>
      </c>
      <c r="I105" s="137"/>
    </row>
    <row r="106" spans="1:35" ht="18.75" customHeight="1">
      <c r="A106" s="2409" t="s">
        <v>2263</v>
      </c>
      <c r="B106" s="2409"/>
      <c r="C106" s="2409"/>
      <c r="D106" s="2409"/>
      <c r="E106" s="2515" t="s">
        <v>2264</v>
      </c>
      <c r="F106" s="2253"/>
      <c r="G106" s="2512" t="s">
        <v>2259</v>
      </c>
      <c r="H106" s="1043">
        <f>C38</f>
        <v>0</v>
      </c>
      <c r="I106" s="137"/>
    </row>
    <row r="107" spans="1:35" ht="18.75" customHeight="1">
      <c r="A107" s="137"/>
      <c r="B107" s="137"/>
      <c r="C107" s="137"/>
      <c r="D107" s="137"/>
      <c r="E107" s="3119" t="str">
        <f>IF(项目基本情况!E8="已注销","——","3.房地产抵押价值")</f>
        <v>——</v>
      </c>
      <c r="F107" s="3089"/>
      <c r="G107" s="2511" t="s">
        <v>2255</v>
      </c>
      <c r="H107" s="1042" t="str">
        <f>IF(E107="——","——",H101-H103)</f>
        <v>——</v>
      </c>
      <c r="I107" s="137"/>
    </row>
    <row r="108" spans="1:35" ht="18.75" customHeight="1">
      <c r="A108" s="137"/>
      <c r="B108" s="137"/>
      <c r="C108" s="137"/>
      <c r="D108" s="137"/>
      <c r="E108" s="3119"/>
      <c r="F108" s="3089"/>
      <c r="G108" s="2511" t="s">
        <v>2257</v>
      </c>
      <c r="H108" s="370" t="e">
        <f>ROUND(H107*10000/'数据-汇总表'!E3,0)</f>
        <v>#VALUE!</v>
      </c>
      <c r="I108" s="137"/>
    </row>
    <row r="109" spans="1:35" ht="18.75" customHeight="1">
      <c r="A109" s="137"/>
      <c r="B109" s="137"/>
      <c r="C109" s="137"/>
      <c r="D109" s="137"/>
      <c r="E109" s="3119" t="str">
        <f>IF(项目基本情况!E8="已注销及未注销","4.抵押担保权已注销时的房地产抵押价值",IF(项目基本情况!E8="已注销","3.抵押担保权已注销时的房地产抵押价值","——"))</f>
        <v>3.抵押担保权已注销时的房地产抵押价值</v>
      </c>
      <c r="F109" s="3089"/>
      <c r="G109" s="2511" t="s">
        <v>2255</v>
      </c>
      <c r="H109" s="347">
        <f ca="1">IF(E109="——","——",H101-H105-H106)</f>
        <v>455895</v>
      </c>
      <c r="I109" s="137"/>
    </row>
    <row r="110" spans="1:35" ht="18.75" customHeight="1">
      <c r="A110" s="137"/>
      <c r="B110" s="137"/>
      <c r="C110" s="137"/>
      <c r="D110" s="137"/>
      <c r="E110" s="3119"/>
      <c r="F110" s="3089"/>
      <c r="G110" s="2511" t="s">
        <v>2257</v>
      </c>
      <c r="H110" s="370">
        <f ca="1">IF(H109="——","——",ROUND(H109*10000/'数据-汇总表'!E3,0))</f>
        <v>37837</v>
      </c>
      <c r="I110" s="137"/>
    </row>
    <row r="111" spans="1:35" ht="18.75" customHeight="1">
      <c r="A111" s="137"/>
      <c r="B111" s="137"/>
      <c r="C111" s="137"/>
      <c r="D111" s="137"/>
      <c r="E111" s="3120" t="str">
        <f>IF(项目基本情况!E9="抵押净值",IF(OR(项目基本情况!E8="已注销",项目基本情况!E8="房地产抵押价值"),"4.抵押净值","5.抵押净值"),"——")</f>
        <v>——</v>
      </c>
      <c r="F111" s="3121"/>
      <c r="G111" s="2511" t="s">
        <v>2255</v>
      </c>
      <c r="H111" s="1042" t="str">
        <f>IF(E111="——","——",N59)</f>
        <v>——</v>
      </c>
      <c r="I111" s="137"/>
    </row>
    <row r="112" spans="1:35" ht="18.75" customHeight="1" thickBot="1">
      <c r="A112" s="137"/>
      <c r="B112" s="137"/>
      <c r="C112" s="137"/>
      <c r="D112" s="137"/>
      <c r="E112" s="3122"/>
      <c r="F112" s="3123"/>
      <c r="G112" s="2516" t="s">
        <v>2257</v>
      </c>
      <c r="H112" s="789" t="str">
        <f>IF(E111="——","——",N61)</f>
        <v>——</v>
      </c>
      <c r="I112" s="137"/>
    </row>
    <row r="113" spans="1:11" ht="18.75" customHeight="1">
      <c r="A113" s="137"/>
      <c r="B113" s="137"/>
      <c r="C113" s="137"/>
      <c r="D113" s="137"/>
      <c r="E113" s="3131" t="s">
        <v>2263</v>
      </c>
      <c r="F113" s="3131"/>
      <c r="G113" s="3131"/>
      <c r="H113" s="3131"/>
      <c r="I113" s="137"/>
    </row>
    <row r="114" spans="1:11" ht="3.75" customHeight="1">
      <c r="A114" s="2409"/>
      <c r="B114" s="2409"/>
      <c r="C114" s="2409"/>
      <c r="D114" s="2409"/>
      <c r="E114" s="2487"/>
      <c r="F114" s="2487"/>
      <c r="G114" s="2487"/>
      <c r="H114" s="2487"/>
      <c r="I114" s="2409"/>
    </row>
    <row r="115" spans="1:11" ht="18.75" customHeight="1">
      <c r="A115" s="3144" t="s">
        <v>2265</v>
      </c>
      <c r="B115" s="3145"/>
      <c r="C115" s="3145"/>
      <c r="D115" s="3145"/>
      <c r="E115" s="3145"/>
      <c r="F115" s="3145"/>
      <c r="G115" s="3145"/>
      <c r="H115" s="3145"/>
      <c r="I115" s="3146"/>
    </row>
    <row r="116" spans="1:11" ht="27" customHeight="1">
      <c r="A116" s="3055" t="s">
        <v>2266</v>
      </c>
      <c r="B116" s="3098" t="s">
        <v>2267</v>
      </c>
      <c r="C116" s="3098" t="s">
        <v>2268</v>
      </c>
      <c r="D116" s="3104" t="s">
        <v>2269</v>
      </c>
      <c r="E116" s="3105"/>
      <c r="F116" s="3140" t="s">
        <v>2270</v>
      </c>
      <c r="G116" s="3140"/>
      <c r="H116" s="3055" t="s">
        <v>2271</v>
      </c>
      <c r="I116" s="3055"/>
    </row>
    <row r="117" spans="1:11" ht="18.75" customHeight="1">
      <c r="A117" s="3055"/>
      <c r="B117" s="3099"/>
      <c r="C117" s="3099"/>
      <c r="D117" s="1792" t="s">
        <v>2272</v>
      </c>
      <c r="E117" s="1792" t="s">
        <v>2273</v>
      </c>
      <c r="F117" s="1792" t="s">
        <v>2272</v>
      </c>
      <c r="G117" s="1792" t="s">
        <v>2274</v>
      </c>
      <c r="H117" s="1792" t="s">
        <v>2272</v>
      </c>
      <c r="I117" s="1792" t="s">
        <v>2274</v>
      </c>
    </row>
    <row r="118" spans="1:11" ht="24.75" customHeight="1">
      <c r="A118" s="2517" t="str">
        <f>项目基本情况!S2</f>
        <v>北京市石景山区石景山路乙18号院4号楼房地产</v>
      </c>
      <c r="B118" s="1792">
        <f>M18</f>
        <v>120487.72</v>
      </c>
      <c r="C118" s="1792">
        <f>M19</f>
        <v>22271.54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455895</v>
      </c>
      <c r="I118" s="1792">
        <f ca="1">ROUND(IF(D32="楼面单价",C32,H118*10000/B118),0)</f>
        <v>37837</v>
      </c>
    </row>
    <row r="119" spans="1:11" ht="18.75" customHeight="1">
      <c r="A119" s="3055" t="s">
        <v>2275</v>
      </c>
      <c r="B119" s="3055"/>
      <c r="C119" s="3055"/>
      <c r="D119" s="3100" t="e">
        <f ca="1">NUMBERSTRING(INT(D118*10000),2)&amp;"元整"</f>
        <v>#REF!</v>
      </c>
      <c r="E119" s="3101"/>
      <c r="F119" s="3100" t="e">
        <f ca="1">NUMBERSTRING(INT(F118*10000),2)&amp;"元整"</f>
        <v>#REF!</v>
      </c>
      <c r="G119" s="3101"/>
      <c r="H119" s="3100" t="str">
        <f ca="1">NUMBERSTRING(INT(H118*10000),2)&amp;"元整"</f>
        <v>肆拾伍亿伍仟捌佰玖拾伍万元整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14" t="str">
        <f>IF(D120=0,"故，本次评估不存在"&amp;A120,"故，本次评估"&amp;A120&amp;"为人民币"&amp;D120&amp;"万元整。")</f>
        <v>故，本次评估不存在估价师知悉的法定优先受偿款</v>
      </c>
    </row>
    <row r="121" spans="1:11" ht="18.75" customHeight="1">
      <c r="A121" s="3141" t="s">
        <v>2275</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
      </c>
      <c r="B122" s="3106"/>
      <c r="C122" s="3106"/>
      <c r="D122" s="3095" t="str">
        <f>H107</f>
        <v>——</v>
      </c>
      <c r="E122" s="3096"/>
      <c r="F122" s="3096"/>
      <c r="G122" s="3096"/>
      <c r="H122" s="3096"/>
      <c r="I122" s="3097"/>
    </row>
    <row r="123" spans="1:11" ht="18.75" customHeight="1">
      <c r="A123" s="3055" t="s">
        <v>2275</v>
      </c>
      <c r="B123" s="3055"/>
      <c r="C123" s="3055"/>
      <c r="D123" s="3100" t="e">
        <f>NUMBERSTRING(INT(D122*10000),2)&amp;"元整"</f>
        <v>#VALUE!</v>
      </c>
      <c r="E123" s="3102"/>
      <c r="F123" s="3102"/>
      <c r="G123" s="3102"/>
      <c r="H123" s="3102"/>
      <c r="I123" s="3101"/>
    </row>
    <row r="124" spans="1:11" ht="18.75" customHeight="1">
      <c r="A124" s="3106" t="str">
        <f>IF(项目基本情况!B9="房地产市场价值","",MID(E109,3,LEN(E109)-2))</f>
        <v>抵押担保权已注销时的房地产抵押价值</v>
      </c>
      <c r="B124" s="3106"/>
      <c r="C124" s="3106"/>
      <c r="D124" s="3095">
        <f ca="1">H109</f>
        <v>455895</v>
      </c>
      <c r="E124" s="3096"/>
      <c r="F124" s="3096"/>
      <c r="G124" s="3096"/>
      <c r="H124" s="3096"/>
      <c r="I124" s="3097"/>
    </row>
    <row r="125" spans="1:11" ht="18.75" customHeight="1">
      <c r="A125" s="3055" t="s">
        <v>2275</v>
      </c>
      <c r="B125" s="3055"/>
      <c r="C125" s="3055"/>
      <c r="D125" s="3100" t="str">
        <f ca="1">NUMBERSTRING(INT(D124*10000),2)&amp;"元整"</f>
        <v>肆拾伍亿伍仟捌佰玖拾伍万元整</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5" t="s">
        <v>2275</v>
      </c>
      <c r="B127" s="3055"/>
      <c r="C127" s="3055"/>
      <c r="D127" s="3100" t="e">
        <f>NUMBERSTRING(INT(D126*10000),2)&amp;"元整"</f>
        <v>#VALUE!</v>
      </c>
      <c r="E127" s="3102"/>
      <c r="F127" s="3102"/>
      <c r="G127" s="3102"/>
      <c r="H127" s="3102"/>
      <c r="I127" s="3101"/>
    </row>
    <row r="128" spans="1:11" ht="21.75" customHeight="1">
      <c r="A128" s="3103" t="s">
        <v>2276</v>
      </c>
      <c r="B128" s="3103"/>
      <c r="C128" s="3103"/>
      <c r="D128" s="3103"/>
      <c r="E128" s="3103"/>
      <c r="F128" s="3103"/>
      <c r="G128" s="3103"/>
      <c r="H128" s="3103"/>
      <c r="I128" s="3103"/>
    </row>
    <row r="129" spans="1:35" ht="21.75" customHeight="1">
      <c r="A129" s="2518" t="s">
        <v>2277</v>
      </c>
      <c r="B129" s="2519"/>
      <c r="C129" s="2520" t="s">
        <v>2278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2279</v>
      </c>
      <c r="G135" s="2535"/>
      <c r="H135" s="2535"/>
      <c r="I135" s="2536" t="s">
        <v>2280</v>
      </c>
    </row>
    <row r="136" spans="1:35" ht="21.75" customHeight="1">
      <c r="A136" s="794"/>
      <c r="B136" s="2537" t="s">
        <v>2281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2282</v>
      </c>
    </row>
    <row r="139" spans="1:35" ht="21.75" customHeight="1">
      <c r="A139" s="794"/>
      <c r="B139" s="2537" t="s">
        <v>2283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2282</v>
      </c>
    </row>
    <row r="142" spans="1:35" ht="21.75" customHeight="1">
      <c r="A142" s="794"/>
      <c r="B142" s="2537"/>
      <c r="C142" s="2538"/>
      <c r="D142" s="2539"/>
      <c r="E142" s="2539"/>
      <c r="F142" s="2335"/>
      <c r="G142" s="794"/>
      <c r="H142" s="794"/>
      <c r="I142" s="794"/>
    </row>
    <row r="143" spans="1:35" s="138" customFormat="1" ht="21.75" customHeight="1">
      <c r="A143" s="794"/>
      <c r="B143" s="2537"/>
      <c r="C143" s="2538"/>
      <c r="D143" s="2539"/>
      <c r="E143" s="2539"/>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H8" zoomScale="80" zoomScaleNormal="80" zoomScaleSheetLayoutView="96" workbookViewId="0">
      <selection activeCell="P43" sqref="P43"/>
    </sheetView>
  </sheetViews>
  <sheetFormatPr defaultColWidth="12" defaultRowHeight="12.75"/>
  <cols>
    <col min="1" max="1" width="9.75" style="2786" customWidth="1"/>
    <col min="2" max="2" width="19.25" style="2890" customWidth="1"/>
    <col min="3" max="4" width="12" style="2713"/>
    <col min="5" max="5" width="14.625" style="2713" customWidth="1"/>
    <col min="6" max="8" width="12" style="2713"/>
    <col min="9" max="9" width="12.25" style="2713" bestFit="1" customWidth="1"/>
    <col min="10" max="10" width="12" style="2713"/>
    <col min="11" max="11" width="8.125" style="2778" customWidth="1"/>
    <col min="12" max="12" width="12" style="2713"/>
    <col min="13" max="13" width="8.5" style="2713" customWidth="1"/>
    <col min="14" max="14" width="9.75" style="2713" customWidth="1"/>
    <col min="15" max="25" width="12" style="2713"/>
    <col min="26" max="26" width="9.375" style="2786" customWidth="1"/>
    <col min="27" max="32" width="9.375" style="1369" customWidth="1"/>
    <col min="33" max="36" width="9.375" style="2786" customWidth="1"/>
    <col min="37" max="38" width="9.375" style="2713" customWidth="1"/>
    <col min="39" max="16384" width="12" style="2713"/>
  </cols>
  <sheetData>
    <row r="1" spans="1:36" ht="28.5">
      <c r="A1" s="239" t="s">
        <v>2762</v>
      </c>
      <c r="B1" s="240"/>
      <c r="C1" s="244" t="s">
        <v>2763</v>
      </c>
      <c r="D1" s="387">
        <f>SUM(D29:D30,D33:D39)</f>
        <v>45964.61</v>
      </c>
      <c r="E1" s="2710"/>
      <c r="F1" s="2710"/>
      <c r="G1" s="2710"/>
      <c r="H1" s="2710"/>
      <c r="I1" s="2710"/>
      <c r="J1" s="2710"/>
      <c r="K1" s="1367"/>
      <c r="L1" s="2711" t="s">
        <v>2764</v>
      </c>
      <c r="M1" s="1077">
        <f>SUMPRODUCT((区片价!B5:B9=I2)*(区片价!C3:F3=E2)*(区片价!C5:F9))</f>
        <v>0</v>
      </c>
      <c r="N1" s="1080">
        <f>SUMPRODUCT((因素修正幅度!B5:B9=I2)*(因素修正幅度!C3:F3=E2)*(因素修正幅度!C5:F9))</f>
        <v>0</v>
      </c>
      <c r="O1" s="2712"/>
      <c r="P1" s="1367"/>
      <c r="Q1" s="1367"/>
      <c r="R1" s="1599" t="s">
        <v>2765</v>
      </c>
      <c r="S1" s="1599" t="s">
        <v>2766</v>
      </c>
      <c r="T1" s="1599" t="s">
        <v>2767</v>
      </c>
      <c r="U1" s="1599" t="s">
        <v>2768</v>
      </c>
      <c r="V1" s="1599" t="s">
        <v>2769</v>
      </c>
      <c r="W1" s="1603"/>
      <c r="X1" s="1603"/>
      <c r="Y1" s="1603"/>
      <c r="Z1" s="1603"/>
      <c r="AA1" s="1603"/>
      <c r="AB1" s="1603"/>
      <c r="AC1" s="1604"/>
      <c r="AD1" s="1605"/>
      <c r="AE1" s="1605"/>
      <c r="AF1" s="1605"/>
      <c r="AG1" s="1605"/>
      <c r="AH1" s="1605"/>
      <c r="AI1" s="1605"/>
      <c r="AJ1" s="1606"/>
    </row>
    <row r="2" spans="1:36" ht="15.75">
      <c r="A2" s="244" t="s">
        <v>2770</v>
      </c>
      <c r="B2" s="247">
        <f ca="1">C26</f>
        <v>86145</v>
      </c>
      <c r="C2" s="2714" t="s">
        <v>2771</v>
      </c>
      <c r="D2" s="2715" t="s">
        <v>2772</v>
      </c>
      <c r="E2" s="2716" t="s">
        <v>1375</v>
      </c>
      <c r="F2" s="2715" t="s">
        <v>2773</v>
      </c>
      <c r="G2" s="2717" t="str">
        <f>IF(E2="商业",项目基本情况!B37,IF(E2="办公",项目基本情况!C37,IF(E2="住宅",项目基本情况!D37,项目基本情况!E37)))</f>
        <v>五级</v>
      </c>
      <c r="H2" s="2715" t="s">
        <v>2774</v>
      </c>
      <c r="I2" s="2717" t="str">
        <f>IF(E2="商业",项目基本情况!B38,IF(E2="办公",项目基本情况!C38,IF(E2="住宅",项目基本情况!D38,项目基本情况!E38)))</f>
        <v>Ⅴ-11</v>
      </c>
      <c r="J2" s="2718"/>
      <c r="K2" s="1367"/>
      <c r="L2" s="2719" t="s">
        <v>2775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28470</v>
      </c>
      <c r="U2" s="2962">
        <f>项目详细情况!F50</f>
        <v>20803.14</v>
      </c>
      <c r="V2" s="1599">
        <f ca="1">ROUND(T2*U2/10000,0)</f>
        <v>59227</v>
      </c>
      <c r="W2" s="1603"/>
      <c r="X2" s="1603"/>
      <c r="Y2" s="1603"/>
      <c r="Z2" s="1603"/>
      <c r="AA2" s="1603"/>
      <c r="AB2" s="1603"/>
      <c r="AC2" s="1604"/>
      <c r="AD2" s="1605"/>
      <c r="AE2" s="1605"/>
      <c r="AF2" s="1605"/>
      <c r="AG2" s="1605"/>
      <c r="AH2" s="1605"/>
      <c r="AI2" s="1605"/>
      <c r="AJ2" s="1606"/>
    </row>
    <row r="3" spans="1:36" ht="15.75">
      <c r="A3" s="246" t="s">
        <v>2776</v>
      </c>
      <c r="B3" s="247">
        <f ca="1">ROUND(B2*10000/D1,0)</f>
        <v>18742</v>
      </c>
      <c r="C3" s="2714" t="s">
        <v>2777</v>
      </c>
      <c r="D3" s="2715" t="s">
        <v>2778</v>
      </c>
      <c r="E3" s="2979" t="s">
        <v>3132</v>
      </c>
      <c r="F3" s="2720" t="s">
        <v>3107</v>
      </c>
      <c r="G3" s="910">
        <f>IF(F3="宗地容积率",'数据-汇总表'!I4,IF(F3="估价对象容积率",'数据-汇总表'!I6,'数据-汇总表'!I7))</f>
        <v>3.37</v>
      </c>
      <c r="H3" s="197" t="s">
        <v>2779</v>
      </c>
      <c r="I3" s="941">
        <v>1</v>
      </c>
      <c r="J3" s="2718" t="s">
        <v>2780</v>
      </c>
      <c r="K3" s="1367"/>
      <c r="L3" s="2719" t="s">
        <v>2781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20436</v>
      </c>
      <c r="U3" s="2962">
        <f>项目详细情况!F51</f>
        <v>20348.11</v>
      </c>
      <c r="V3" s="1599">
        <f t="shared" ref="V3:V16" ca="1" si="1">ROUND(T3*U3/10000,0)</f>
        <v>41583</v>
      </c>
      <c r="W3" s="1603"/>
      <c r="X3" s="1603"/>
      <c r="Y3" s="1603"/>
      <c r="Z3" s="1603"/>
      <c r="AA3" s="1603"/>
      <c r="AB3" s="1603"/>
      <c r="AC3" s="1604"/>
      <c r="AD3" s="1605"/>
      <c r="AE3" s="1605"/>
      <c r="AF3" s="1605"/>
      <c r="AG3" s="1605"/>
      <c r="AH3" s="1605"/>
      <c r="AI3" s="1605"/>
      <c r="AJ3" s="1606"/>
    </row>
    <row r="4" spans="1:36" ht="15.75">
      <c r="A4" s="3189"/>
      <c r="B4" s="3190"/>
      <c r="C4" s="3190"/>
      <c r="D4" s="3191"/>
      <c r="E4" s="3191"/>
      <c r="F4" s="3191"/>
      <c r="G4" s="3191"/>
      <c r="H4" s="3191"/>
      <c r="I4" s="3191"/>
      <c r="J4" s="3192"/>
      <c r="K4" s="1367"/>
      <c r="L4" s="2719" t="s">
        <v>2782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16487</v>
      </c>
      <c r="U4" s="2962">
        <f>项目详细情况!F52</f>
        <v>20742.52</v>
      </c>
      <c r="V4" s="1599">
        <f t="shared" ca="1" si="1"/>
        <v>34198</v>
      </c>
      <c r="W4" s="1603"/>
      <c r="X4" s="1603"/>
      <c r="Y4" s="1603"/>
      <c r="Z4" s="1603"/>
      <c r="AA4" s="1603"/>
      <c r="AB4" s="1603"/>
      <c r="AC4" s="1604"/>
      <c r="AD4" s="1605"/>
      <c r="AE4" s="1605"/>
      <c r="AF4" s="1605"/>
      <c r="AG4" s="1605"/>
      <c r="AH4" s="1605"/>
      <c r="AI4" s="1605"/>
      <c r="AJ4" s="1606"/>
    </row>
    <row r="5" spans="1:36" s="2730" customFormat="1" ht="15.75" thickBot="1">
      <c r="A5" s="2721" t="s">
        <v>807</v>
      </c>
      <c r="B5" s="2722" t="s">
        <v>2783</v>
      </c>
      <c r="C5" s="911">
        <f>ROUND(IF(E2="商业",IF(F16="增加",C6*C7+C16,C6*C7-C16),IF(E2="住宅",IF(F16="增加",C6*C12+C16,C6*C12-C16),IF(F16="增加",C6+C16,C6-C16))),0)</f>
        <v>12710</v>
      </c>
      <c r="D5" s="1784">
        <f>ROUND(IF(E2="商业",IF(F16="增加",C6+C16,C6-C16)),0)</f>
        <v>12710</v>
      </c>
      <c r="E5" s="2723"/>
      <c r="F5" s="2723"/>
      <c r="G5" s="2724"/>
      <c r="H5" s="2724"/>
      <c r="I5" s="2724"/>
      <c r="J5" s="2725"/>
      <c r="K5" s="2726"/>
      <c r="L5" s="2719" t="s">
        <v>2784</v>
      </c>
      <c r="M5" s="1078">
        <f>SUMPRODUCT((区片价!B76:B109=I2)*(区片价!C3:F3=E2)*(区片价!C76:F109))</f>
        <v>12730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13229</v>
      </c>
      <c r="U5" s="2962">
        <f>项目详细情况!F53</f>
        <v>12538.68</v>
      </c>
      <c r="V5" s="1599">
        <f t="shared" ca="1" si="1"/>
        <v>16587</v>
      </c>
      <c r="W5" s="1603"/>
      <c r="X5" s="1603"/>
      <c r="Y5" s="1603"/>
      <c r="Z5" s="1603"/>
      <c r="AA5" s="1603"/>
      <c r="AB5" s="1603"/>
      <c r="AC5" s="2727"/>
      <c r="AD5" s="2728"/>
      <c r="AE5" s="2728"/>
      <c r="AF5" s="2728"/>
      <c r="AG5" s="2728"/>
      <c r="AH5" s="2728"/>
      <c r="AI5" s="2728"/>
      <c r="AJ5" s="2729"/>
    </row>
    <row r="6" spans="1:36" ht="15.75" thickBot="1">
      <c r="A6" s="2731" t="s">
        <v>2785</v>
      </c>
      <c r="B6" s="2732" t="s">
        <v>2786</v>
      </c>
      <c r="C6" s="912">
        <f>SUMIF(L1:L12,G2,M1:M12)</f>
        <v>12730</v>
      </c>
      <c r="D6" s="2733" t="s">
        <v>2787</v>
      </c>
      <c r="E6" s="2734"/>
      <c r="F6" s="2734"/>
      <c r="G6" s="2735"/>
      <c r="H6" s="2735"/>
      <c r="I6" s="2735"/>
      <c r="J6" s="2736"/>
      <c r="K6" s="1839"/>
      <c r="L6" s="2719" t="s">
        <v>2788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11265</v>
      </c>
      <c r="U6" s="2962">
        <f>项目详细情况!F54</f>
        <v>656.2</v>
      </c>
      <c r="V6" s="1599">
        <f t="shared" ca="1" si="1"/>
        <v>739</v>
      </c>
      <c r="W6" s="1603"/>
      <c r="X6" s="1603"/>
      <c r="Y6" s="1603"/>
      <c r="Z6" s="1603"/>
      <c r="AA6" s="1603"/>
      <c r="AB6" s="1603"/>
      <c r="AC6" s="2727"/>
      <c r="AD6" s="2728"/>
      <c r="AE6" s="2728"/>
      <c r="AF6" s="2728"/>
      <c r="AG6" s="2728"/>
      <c r="AH6" s="2728"/>
      <c r="AI6" s="2728"/>
      <c r="AJ6" s="2729"/>
    </row>
    <row r="7" spans="1:36" ht="24">
      <c r="A7" s="3175" t="str">
        <f>IF(E2="商业",IF(C8="不临58条商业街","",2),"")</f>
        <v/>
      </c>
      <c r="B7" s="2737" t="s">
        <v>2789</v>
      </c>
      <c r="C7" s="913">
        <f>IF(C8="不临58条商业街",1,ROUND(1+(1.6*E8+1.2*E9+0.8*E10+0.4*E11)*C9,4))</f>
        <v>1</v>
      </c>
      <c r="D7" s="2738" t="s">
        <v>2790</v>
      </c>
      <c r="E7" s="942"/>
      <c r="F7" s="2739"/>
      <c r="G7" s="2740"/>
      <c r="H7" s="2740"/>
      <c r="I7" s="2740"/>
      <c r="J7" s="2741"/>
      <c r="K7" s="1839"/>
      <c r="L7" s="2719" t="s">
        <v>2791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9906</v>
      </c>
      <c r="U7" s="1600"/>
      <c r="V7" s="1599">
        <f t="shared" ca="1" si="1"/>
        <v>0</v>
      </c>
      <c r="W7" s="1813" t="s">
        <v>2792</v>
      </c>
      <c r="X7" s="1601" t="str">
        <f>G2</f>
        <v>五级</v>
      </c>
      <c r="Y7" s="1601" t="s">
        <v>2793</v>
      </c>
      <c r="Z7" s="1602">
        <f>G3</f>
        <v>3.37</v>
      </c>
      <c r="AA7" s="1603"/>
      <c r="AB7" s="1603"/>
      <c r="AC7" s="1604"/>
      <c r="AD7" s="1605"/>
      <c r="AE7" s="1605"/>
      <c r="AF7" s="1605"/>
      <c r="AG7" s="1605"/>
      <c r="AH7" s="1605"/>
      <c r="AI7" s="1605"/>
      <c r="AJ7" s="1606"/>
    </row>
    <row r="8" spans="1:36" ht="25.5">
      <c r="A8" s="3176"/>
      <c r="B8" s="197" t="s">
        <v>2794</v>
      </c>
      <c r="C8" s="2742" t="s">
        <v>3034</v>
      </c>
      <c r="D8" s="914" t="s">
        <v>139</v>
      </c>
      <c r="E8" s="915" t="e">
        <f>ROUND(C11/E7,4)</f>
        <v>#DIV/0!</v>
      </c>
      <c r="F8" s="2743" t="s">
        <v>2795</v>
      </c>
      <c r="G8" s="2744"/>
      <c r="H8" s="2744"/>
      <c r="I8" s="2744"/>
      <c r="J8" s="2745"/>
      <c r="K8" s="1367"/>
      <c r="L8" s="2719" t="s">
        <v>2796</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86" t="s">
        <v>2797</v>
      </c>
      <c r="X8" s="3187"/>
      <c r="Y8" s="1607" t="s">
        <v>2798</v>
      </c>
      <c r="Z8" s="1607" t="s">
        <v>2799</v>
      </c>
      <c r="AA8" s="1607" t="s">
        <v>2800</v>
      </c>
      <c r="AB8" s="1607" t="s">
        <v>2801</v>
      </c>
      <c r="AC8" s="1607" t="s">
        <v>2802</v>
      </c>
      <c r="AD8" s="1607" t="s">
        <v>2803</v>
      </c>
      <c r="AE8" s="1607" t="s">
        <v>2804</v>
      </c>
      <c r="AF8" s="1607" t="s">
        <v>2805</v>
      </c>
      <c r="AG8" s="1607" t="s">
        <v>2806</v>
      </c>
      <c r="AH8" s="1607" t="s">
        <v>2807</v>
      </c>
      <c r="AI8" s="1607" t="s">
        <v>2808</v>
      </c>
      <c r="AJ8" s="1607" t="s">
        <v>2809</v>
      </c>
    </row>
    <row r="9" spans="1:36" ht="15">
      <c r="A9" s="3176"/>
      <c r="B9" s="197" t="s">
        <v>2810</v>
      </c>
      <c r="C9" s="916">
        <f>SUMIF(修正!C59:C119,C8,修正!E59:E119)</f>
        <v>0</v>
      </c>
      <c r="D9" s="199" t="s">
        <v>140</v>
      </c>
      <c r="E9" s="199" t="e">
        <f>ROUND(C11/E7,4)</f>
        <v>#DIV/0!</v>
      </c>
      <c r="F9" s="2743" t="s">
        <v>2811</v>
      </c>
      <c r="G9" s="2744"/>
      <c r="H9" s="2744"/>
      <c r="I9" s="2744"/>
      <c r="J9" s="2745"/>
      <c r="K9" s="1367"/>
      <c r="L9" s="2719" t="s">
        <v>2812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88" t="s">
        <v>2813</v>
      </c>
      <c r="X9" s="1608" t="s">
        <v>2814</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76"/>
      <c r="B10" s="197" t="s">
        <v>2815</v>
      </c>
      <c r="C10" s="199">
        <f>SUMIF(修正!C59:C119,C8,修正!F59:F119)</f>
        <v>0</v>
      </c>
      <c r="D10" s="199" t="s">
        <v>141</v>
      </c>
      <c r="E10" s="199" t="e">
        <f>ROUND(C11/E7,4)</f>
        <v>#DIV/0!</v>
      </c>
      <c r="F10" s="2743" t="s">
        <v>2816</v>
      </c>
      <c r="G10" s="2744"/>
      <c r="H10" s="2744"/>
      <c r="I10" s="2744"/>
      <c r="J10" s="2745"/>
      <c r="K10" s="1367"/>
      <c r="L10" s="2719" t="s">
        <v>2817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8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76"/>
      <c r="B11" s="2746" t="s">
        <v>2818</v>
      </c>
      <c r="C11" s="917">
        <f>C10/4</f>
        <v>0</v>
      </c>
      <c r="D11" s="917" t="s">
        <v>142</v>
      </c>
      <c r="E11" s="917" t="e">
        <f>ROUND(C11/E7,4)</f>
        <v>#DIV/0!</v>
      </c>
      <c r="F11" s="2747" t="s">
        <v>2819</v>
      </c>
      <c r="G11" s="2748"/>
      <c r="H11" s="2748"/>
      <c r="I11" s="2748"/>
      <c r="J11" s="2749"/>
      <c r="K11" s="1367"/>
      <c r="L11" s="2719" t="s">
        <v>2820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88" t="s">
        <v>2821</v>
      </c>
      <c r="X11" s="1611" t="s">
        <v>2822</v>
      </c>
      <c r="Y11" s="1612">
        <f>$G$3</f>
        <v>3.37</v>
      </c>
      <c r="Z11" s="1612">
        <f t="shared" ref="Z11:AJ11" si="3">$G$3</f>
        <v>3.37</v>
      </c>
      <c r="AA11" s="1612">
        <f t="shared" si="3"/>
        <v>3.37</v>
      </c>
      <c r="AB11" s="1612">
        <f t="shared" si="3"/>
        <v>3.37</v>
      </c>
      <c r="AC11" s="1612">
        <f t="shared" si="3"/>
        <v>3.37</v>
      </c>
      <c r="AD11" s="1612">
        <f t="shared" si="3"/>
        <v>3.37</v>
      </c>
      <c r="AE11" s="1612">
        <f t="shared" si="3"/>
        <v>3.37</v>
      </c>
      <c r="AF11" s="1612">
        <f t="shared" si="3"/>
        <v>3.37</v>
      </c>
      <c r="AG11" s="1612">
        <f t="shared" si="3"/>
        <v>3.37</v>
      </c>
      <c r="AH11" s="1612">
        <f t="shared" si="3"/>
        <v>3.37</v>
      </c>
      <c r="AI11" s="1612">
        <f t="shared" si="3"/>
        <v>3.37</v>
      </c>
      <c r="AJ11" s="1612">
        <f t="shared" si="3"/>
        <v>3.37</v>
      </c>
    </row>
    <row r="12" spans="1:36" ht="25.5" thickBot="1">
      <c r="A12" s="3175" t="s">
        <v>2823</v>
      </c>
      <c r="B12" s="2750" t="s">
        <v>2824</v>
      </c>
      <c r="C12" s="913">
        <f>ROUND(C15*D15*E15*F15*G15*H15*I15*J15,4)</f>
        <v>1</v>
      </c>
      <c r="D12" s="2751" t="s">
        <v>2825</v>
      </c>
      <c r="E12" s="2752"/>
      <c r="F12" s="2752"/>
      <c r="G12" s="2753"/>
      <c r="H12" s="2753"/>
      <c r="I12" s="2753"/>
      <c r="J12" s="2754"/>
      <c r="K12" s="1367"/>
      <c r="L12" s="2755" t="s">
        <v>2826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88"/>
      <c r="X12" s="1613" t="s">
        <v>2827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93"/>
      <c r="B13" s="2756" t="s">
        <v>2828</v>
      </c>
      <c r="C13" s="2757" t="s">
        <v>2829</v>
      </c>
      <c r="D13" s="1805" t="s">
        <v>2830</v>
      </c>
      <c r="E13" s="1805" t="s">
        <v>2831</v>
      </c>
      <c r="F13" s="30" t="s">
        <v>2832</v>
      </c>
      <c r="G13" s="2758" t="s">
        <v>2833</v>
      </c>
      <c r="H13" s="2758" t="s">
        <v>2833</v>
      </c>
      <c r="I13" s="2758" t="s">
        <v>2833</v>
      </c>
      <c r="J13" s="2759" t="s">
        <v>2833</v>
      </c>
      <c r="K13" s="1367"/>
      <c r="L13" s="1367"/>
      <c r="M13" s="1367"/>
      <c r="N13" s="1367"/>
      <c r="O13" s="1367"/>
      <c r="P13" s="1367"/>
      <c r="Q13" s="1367"/>
      <c r="R13" s="1599">
        <v>12</v>
      </c>
      <c r="S13" s="1600"/>
      <c r="T13" s="1599">
        <f t="shared" ca="1" si="0"/>
        <v>0</v>
      </c>
      <c r="U13" s="1600"/>
      <c r="V13" s="1599">
        <f t="shared" ca="1" si="1"/>
        <v>0</v>
      </c>
      <c r="W13" s="3188"/>
      <c r="X13" s="1613"/>
      <c r="Y13" s="1610">
        <f>(-0.163*(Y12^2)-0.59*Y12+7617)*(10^(-4))/Y11</f>
        <v>0.22602373887240357</v>
      </c>
      <c r="Z13" s="1610">
        <f t="shared" ref="Z13:AJ13" si="5">(-0.163*(Z12^2)-0.59*Z12+7617)*(10^(-4))/Z11</f>
        <v>0.22602373887240357</v>
      </c>
      <c r="AA13" s="1610">
        <f t="shared" si="5"/>
        <v>0.22602373887240357</v>
      </c>
      <c r="AB13" s="1610">
        <f t="shared" si="5"/>
        <v>0.22602373887240357</v>
      </c>
      <c r="AC13" s="1610">
        <f t="shared" si="5"/>
        <v>0.22602373887240357</v>
      </c>
      <c r="AD13" s="1610">
        <f t="shared" si="5"/>
        <v>0.22602373887240357</v>
      </c>
      <c r="AE13" s="1610">
        <f t="shared" si="5"/>
        <v>0.22602373887240357</v>
      </c>
      <c r="AF13" s="1610">
        <f t="shared" si="5"/>
        <v>0.22602373887240357</v>
      </c>
      <c r="AG13" s="1610">
        <f t="shared" si="5"/>
        <v>0.22602373887240357</v>
      </c>
      <c r="AH13" s="1610">
        <f t="shared" si="5"/>
        <v>0.22602373887240357</v>
      </c>
      <c r="AI13" s="1610">
        <f t="shared" si="5"/>
        <v>0.22602373887240357</v>
      </c>
      <c r="AJ13" s="1610">
        <f t="shared" si="5"/>
        <v>0.22602373887240357</v>
      </c>
    </row>
    <row r="14" spans="1:36" ht="15">
      <c r="A14" s="3193"/>
      <c r="B14" s="2760"/>
      <c r="C14" s="2761"/>
      <c r="D14" s="2762"/>
      <c r="E14" s="2762"/>
      <c r="F14" s="2763"/>
      <c r="G14" s="2764" t="s">
        <v>2834</v>
      </c>
      <c r="H14" s="2765"/>
      <c r="I14" s="2766"/>
      <c r="J14" s="2767"/>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94"/>
      <c r="B15" s="2768" t="s">
        <v>2835</v>
      </c>
      <c r="C15" s="228">
        <f>IF(C14="有",1.1,1)</f>
        <v>1</v>
      </c>
      <c r="D15" s="228">
        <f>IF(D14="有",1.1,1)</f>
        <v>1</v>
      </c>
      <c r="E15" s="228">
        <f>IF(E14="有",1.1,1)</f>
        <v>1</v>
      </c>
      <c r="F15" s="228">
        <f>IF(F14="500米范围内",1.2,IF(F14="500-1000米",1.1,1))</f>
        <v>1</v>
      </c>
      <c r="G15" s="943">
        <v>1</v>
      </c>
      <c r="H15" s="943">
        <v>1</v>
      </c>
      <c r="I15" s="943">
        <v>1</v>
      </c>
      <c r="J15" s="944">
        <v>1</v>
      </c>
      <c r="K15" s="1367"/>
      <c r="L15" s="2769" t="s">
        <v>2772</v>
      </c>
      <c r="M15" s="914" t="s">
        <v>2836</v>
      </c>
      <c r="N15" s="914" t="s">
        <v>2837</v>
      </c>
      <c r="O15" s="914" t="s">
        <v>2838</v>
      </c>
      <c r="P15" s="2770" t="s">
        <v>2839</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175" t="s">
        <v>2840</v>
      </c>
      <c r="B16" s="2737" t="s">
        <v>2841</v>
      </c>
      <c r="C16" s="1798">
        <f>ROUND(SUM(G17:J17)/C17,0)</f>
        <v>20</v>
      </c>
      <c r="D16" s="2771" t="s">
        <v>2842</v>
      </c>
      <c r="E16" s="2980" t="s">
        <v>3133</v>
      </c>
      <c r="F16" s="2981" t="s">
        <v>3134</v>
      </c>
      <c r="G16" s="2772" t="s">
        <v>3029</v>
      </c>
      <c r="H16" s="2772"/>
      <c r="I16" s="2772"/>
      <c r="J16" s="2773"/>
      <c r="K16" s="1367"/>
      <c r="L16" s="2774" t="s">
        <v>2843</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176"/>
      <c r="B17" s="2775" t="s">
        <v>2844</v>
      </c>
      <c r="C17" s="918">
        <f>SUMPRODUCT((修正!A2:A5=E2)*(修正!B1:M1=G2)*(修正!B2:M5))</f>
        <v>2.5</v>
      </c>
      <c r="D17" s="2776" t="s">
        <v>2845</v>
      </c>
      <c r="E17" s="917" t="str">
        <f>IF(OR(G2="八级",G2="九级",G2="十级",G2="十一级",G2="十二级"),"五通一平","七通一平")</f>
        <v>七通一平</v>
      </c>
      <c r="F17" s="918" t="s">
        <v>2846</v>
      </c>
      <c r="G17" s="918">
        <f>SUMPRODUCT((七通一平=G16)*(修正!B1:M1=G2)*(修正!B6:M14))</f>
        <v>50</v>
      </c>
      <c r="H17" s="918">
        <f>SUMPRODUCT((七通一平=H16)*(修正!B1:M1=G2)*(修正!B6:M14))</f>
        <v>0</v>
      </c>
      <c r="I17" s="918">
        <f>SUMPRODUCT((七通一平=I16)*(修正!B1:M1=G2)*(修正!B6:M14))</f>
        <v>0</v>
      </c>
      <c r="J17" s="919">
        <f>SUMPRODUCT((七通一平=J16)*(修正!B1:M1=G2)*(修正!B6:M14))</f>
        <v>0</v>
      </c>
      <c r="K17" s="1367"/>
      <c r="L17" s="2777" t="s">
        <v>2847</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8"/>
      <c r="AF17" s="2778"/>
      <c r="AG17" s="2713"/>
      <c r="AH17" s="2713"/>
      <c r="AI17" s="2713"/>
      <c r="AJ17" s="2713"/>
    </row>
    <row r="18" spans="1:37" s="2730" customFormat="1" ht="15.75" thickBot="1">
      <c r="A18" s="2779" t="s">
        <v>808</v>
      </c>
      <c r="B18" s="2780" t="s">
        <v>2848</v>
      </c>
      <c r="C18" s="920">
        <f>SUMIF(修正!C18:C39,E3,修正!E18:E39)</f>
        <v>1</v>
      </c>
      <c r="D18" s="2781"/>
      <c r="E18" s="2782"/>
      <c r="F18" s="2783"/>
      <c r="G18" s="2784"/>
      <c r="H18" s="2784"/>
      <c r="I18" s="2784"/>
      <c r="J18" s="2785"/>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0" customFormat="1" ht="29.25" thickBot="1">
      <c r="A19" s="2779" t="s">
        <v>809</v>
      </c>
      <c r="B19" s="2780" t="s">
        <v>2849</v>
      </c>
      <c r="C19" s="921">
        <f>ROUND(IF(H19="按公示增长率计算",SUMPRODUCT((地价!A3:A21=YEAR(G19)&amp;"-"&amp;ROUNDUP(MONTH(G19)/3,0))*(地价!X2:AB2=E2)*(地价!X3:AB21)),IF(H19="地价指数",M20/M19,(1+I19)^O19)),4)</f>
        <v>1.2685</v>
      </c>
      <c r="D19" s="2787" t="s">
        <v>2850</v>
      </c>
      <c r="E19" s="922">
        <v>41640</v>
      </c>
      <c r="F19" s="2787" t="s">
        <v>2851</v>
      </c>
      <c r="G19" s="923">
        <f>'数据-取费表'!B2</f>
        <v>43164</v>
      </c>
      <c r="H19" s="2982" t="s">
        <v>3135</v>
      </c>
      <c r="I19" s="924" t="str">
        <f>IF(H19="季度增幅（自定义）",SUMIF(N21:N24,E2,O21:O24),"")</f>
        <v/>
      </c>
      <c r="J19" s="2785"/>
      <c r="K19" s="1374"/>
      <c r="L19" s="2788" t="s">
        <v>2852</v>
      </c>
      <c r="M19" s="1731">
        <f>ROUND(SUMIF(地价!B2:F2,E2,地价!B21:F21),0)</f>
        <v>258</v>
      </c>
      <c r="N19" s="2789" t="s">
        <v>2853</v>
      </c>
      <c r="O19" s="925">
        <f>ROUNDDOWN(DATEDIF(E19,G19,"M")/3,0)</f>
        <v>16</v>
      </c>
      <c r="P19" s="1371"/>
      <c r="Q19" s="1373"/>
      <c r="R19" s="1373"/>
      <c r="S19" s="1373"/>
      <c r="T19" s="1368"/>
      <c r="U19" s="1368"/>
      <c r="V19" s="1368"/>
      <c r="W19" s="1367"/>
      <c r="X19" s="1367"/>
      <c r="Y19" s="1367"/>
      <c r="Z19" s="1374"/>
      <c r="AA19" s="1375"/>
      <c r="AB19" s="1375"/>
      <c r="AC19" s="1375"/>
      <c r="AD19" s="1375"/>
      <c r="AE19" s="1375"/>
      <c r="AF19" s="2790"/>
      <c r="AG19" s="2791"/>
      <c r="AH19" s="2786"/>
      <c r="AI19" s="2792"/>
      <c r="AJ19" s="2792"/>
      <c r="AK19" s="2792"/>
    </row>
    <row r="20" spans="1:37" s="2730" customFormat="1" ht="27.75" thickBot="1">
      <c r="A20" s="2793" t="s">
        <v>810</v>
      </c>
      <c r="B20" s="2794" t="s">
        <v>2854</v>
      </c>
      <c r="C20" s="926">
        <f ca="1">ROUND(POWER(1+G20,J20-I20)*(POWER(1+G20,I20)-1)/(POWER(1+G20,J20)-1),4)</f>
        <v>0.89510000000000001</v>
      </c>
      <c r="D20" s="2795" t="s">
        <v>2855</v>
      </c>
      <c r="E20" s="1765">
        <f ca="1">存贷款利率!D4/100</f>
        <v>4.3499999999999997E-2</v>
      </c>
      <c r="F20" s="2795" t="s">
        <v>2847</v>
      </c>
      <c r="G20" s="931">
        <f ca="1">SUMIF(M15:P15,E2,M17:P17)</f>
        <v>5.3999999999999999E-2</v>
      </c>
      <c r="H20" s="2795" t="s">
        <v>2856</v>
      </c>
      <c r="I20" s="932">
        <f>SUMIF('数据-取费表'!C6:C15,E2,'数据-取费表'!F6:F15)/COUNTIF('数据-取费表'!C6:C15,E2)</f>
        <v>29.31</v>
      </c>
      <c r="J20" s="933">
        <f>IF(E2="住宅",70,IF(E2="商业",40,50))</f>
        <v>40</v>
      </c>
      <c r="K20" s="1374"/>
      <c r="L20" s="2796" t="s">
        <v>2857</v>
      </c>
      <c r="M20" s="1732">
        <f>ROUND(SUMPRODUCT((地价!A4:A21=YEAR(G19)&amp;"-"&amp;ROUNDUP(MONTH(G19)/3,0))*(地价!B2:F2=E2)*(地价!B4:F21)),0)</f>
        <v>326</v>
      </c>
      <c r="N20" s="2797" t="s">
        <v>2858</v>
      </c>
      <c r="O20" s="2798" t="s">
        <v>2859</v>
      </c>
      <c r="P20" s="2799" t="s">
        <v>2860</v>
      </c>
      <c r="R20" s="1373"/>
      <c r="S20" s="1373"/>
      <c r="T20" s="1368"/>
      <c r="U20" s="1368"/>
      <c r="V20" s="1368"/>
      <c r="W20" s="1367"/>
      <c r="X20" s="1367"/>
      <c r="Y20" s="1367"/>
      <c r="Z20" s="1374"/>
      <c r="AA20" s="1375"/>
      <c r="AB20" s="1375"/>
      <c r="AC20" s="1375"/>
      <c r="AD20" s="1375"/>
      <c r="AE20" s="1375"/>
      <c r="AF20" s="1375"/>
    </row>
    <row r="21" spans="1:37" s="2730" customFormat="1" ht="15">
      <c r="A21" s="2800" t="s">
        <v>811</v>
      </c>
      <c r="B21" s="2801" t="s">
        <v>3106</v>
      </c>
      <c r="C21" s="934">
        <f>IF(B21="容积率修正",IF(G3&lt;=10,D22,J22),C23)</f>
        <v>1.8629</v>
      </c>
      <c r="D21" s="2802"/>
      <c r="E21" s="2802"/>
      <c r="F21" s="2802"/>
      <c r="G21" s="2802"/>
      <c r="H21" s="2802"/>
      <c r="I21" s="2802"/>
      <c r="J21" s="2803"/>
      <c r="K21" s="1374"/>
      <c r="N21" s="2804" t="s">
        <v>2861</v>
      </c>
      <c r="O21" s="1558"/>
      <c r="P21" s="1559">
        <f>SUMPRODUCT((地价!A3:A21=YEAR(G19)&amp;"-"&amp;ROUNDUP(MONTH(G19)/3,0))*(地价!AD2:AH2=N21)*(地价!AD3:AH21))</f>
        <v>1.55E-2</v>
      </c>
      <c r="R21" s="1373"/>
      <c r="S21" s="1373"/>
      <c r="T21" s="1368"/>
      <c r="U21" s="1368"/>
      <c r="V21" s="1368"/>
      <c r="W21" s="1367"/>
      <c r="X21" s="1367"/>
      <c r="Y21" s="1367"/>
      <c r="Z21" s="1374"/>
      <c r="AA21" s="1375"/>
      <c r="AB21" s="1375"/>
      <c r="AC21" s="1375"/>
      <c r="AD21" s="1375"/>
      <c r="AE21" s="1375"/>
      <c r="AF21" s="1375"/>
    </row>
    <row r="22" spans="1:37" s="2730" customFormat="1" ht="14.25">
      <c r="A22" s="2657" t="s">
        <v>2862</v>
      </c>
      <c r="B22" s="2805" t="s">
        <v>2863</v>
      </c>
      <c r="C22" s="1807" t="s">
        <v>2864</v>
      </c>
      <c r="D22" s="1807">
        <f>IF(E22=G22,F22,IF(G3&lt;=10,ROUND(F22+(H22-F22)*(G3-E22)/(G22-E22),4),"——"))</f>
        <v>0.90869999999999995</v>
      </c>
      <c r="E22" s="910">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910">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0.90629999999999999</v>
      </c>
      <c r="I22" s="1807" t="s">
        <v>155</v>
      </c>
      <c r="J22" s="935" t="str">
        <f>IF(G3&gt;10,D113,"——")</f>
        <v>——</v>
      </c>
      <c r="K22" s="1374"/>
      <c r="N22" s="2804" t="s">
        <v>2865</v>
      </c>
      <c r="O22" s="1558"/>
      <c r="P22" s="1559">
        <f>SUMPRODUCT((地价!A3:A21=YEAR(G19)&amp;"-"&amp;ROUNDUP(MONTH(G19)/3,0))*(地价!AD2:AH2=N22)*(地价!AD3:AH21))</f>
        <v>1.55E-2</v>
      </c>
      <c r="R22" s="1373"/>
      <c r="S22" s="1373"/>
      <c r="T22" s="1368"/>
      <c r="U22" s="1368"/>
      <c r="V22" s="1368"/>
      <c r="W22" s="1367"/>
      <c r="X22" s="1367"/>
      <c r="Y22" s="1367"/>
      <c r="Z22" s="1374"/>
      <c r="AA22" s="1375"/>
      <c r="AB22" s="1375"/>
      <c r="AC22" s="1375"/>
      <c r="AD22" s="1375"/>
      <c r="AE22" s="1375"/>
      <c r="AF22" s="1375"/>
    </row>
    <row r="23" spans="1:37" ht="27.75" thickBot="1">
      <c r="A23" s="2657" t="s">
        <v>2866</v>
      </c>
      <c r="B23" s="2806" t="s">
        <v>2867</v>
      </c>
      <c r="C23" s="1010">
        <f>ROUND(IF(G3&gt;1,IF(I3&lt;7,SUMPRODUCT((B93:B98=I3)*(C92:N92=G2)*(C93:N98)),SUMIF(C92:N92,G2,C100:N100)),IF(I3&lt;7,SUMPRODUCT((B102:B107=I3)*(C92:N92=G2)*(C102:N107)),SUMIF(C92:N92,G2,C109:N109))),4)</f>
        <v>1.8629</v>
      </c>
      <c r="D23" s="2765"/>
      <c r="E23" s="2765"/>
      <c r="F23" s="2807"/>
      <c r="G23" s="2808"/>
      <c r="H23" s="2809"/>
      <c r="I23" s="2810"/>
      <c r="J23" s="2811"/>
      <c r="K23" s="1367"/>
      <c r="N23" s="2804" t="s">
        <v>2868</v>
      </c>
      <c r="O23" s="1558"/>
      <c r="P23" s="1559">
        <f>SUMPRODUCT((地价!A3:A21=YEAR(G19)&amp;"-"&amp;ROUNDUP(MONTH(G19)/3,0))*(地价!AD2:AH2=N23)*(地价!AD3:AH21))</f>
        <v>2.5499999999999998E-2</v>
      </c>
      <c r="R23" s="1373"/>
      <c r="S23" s="1373"/>
      <c r="T23" s="1368"/>
      <c r="U23" s="1368"/>
      <c r="V23" s="1368"/>
      <c r="W23" s="1367"/>
      <c r="X23" s="1367"/>
      <c r="Y23" s="1367"/>
      <c r="Z23" s="1374"/>
      <c r="AA23" s="1375"/>
      <c r="AB23" s="1375"/>
      <c r="AC23" s="1375"/>
      <c r="AD23" s="1375"/>
      <c r="AK23" s="2786"/>
    </row>
    <row r="24" spans="1:37" s="2730" customFormat="1" ht="15.75" thickBot="1">
      <c r="A24" s="2793" t="s">
        <v>812</v>
      </c>
      <c r="B24" s="2780" t="s">
        <v>2869</v>
      </c>
      <c r="C24" s="921">
        <f>SUMIF(A45:A88,E2,B45:B88)</f>
        <v>1.0589999999999999</v>
      </c>
      <c r="D24" s="2783"/>
      <c r="E24" s="2812"/>
      <c r="F24" s="2812"/>
      <c r="G24" s="2812"/>
      <c r="H24" s="2812"/>
      <c r="I24" s="2812"/>
      <c r="J24" s="2813"/>
      <c r="K24" s="1374"/>
      <c r="N24" s="2814" t="s">
        <v>2870</v>
      </c>
      <c r="O24" s="1560"/>
      <c r="P24" s="1561">
        <f>SUMPRODUCT((地价!A3:A21=YEAR(G19)&amp;"-"&amp;ROUNDUP(MONTH(G19)/3,0))*(地价!AD2:AH2=N24)*(地价!AD3:AH21))</f>
        <v>1.3100000000000001E-2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2871</v>
      </c>
      <c r="C25" s="927"/>
      <c r="D25" s="2740"/>
      <c r="E25" s="2740"/>
      <c r="F25" s="2816"/>
      <c r="G25" s="2740"/>
      <c r="H25" s="2740"/>
      <c r="I25" s="2740"/>
      <c r="J25" s="2741"/>
      <c r="K25" s="1367"/>
      <c r="N25" s="2817" t="s">
        <v>2872</v>
      </c>
      <c r="O25" s="1562"/>
      <c r="P25" s="1561">
        <f>SUMPRODUCT((地价!A3:A21=YEAR(G19)&amp;"-"&amp;ROUNDUP(MONTH(G19)/3,0))*(地价!AD2:AH2=N25)*(地价!AD3:AH21))</f>
        <v>2.3E-2</v>
      </c>
      <c r="R25" s="1373"/>
      <c r="S25" s="1373"/>
      <c r="T25" s="1368"/>
      <c r="U25" s="1368"/>
      <c r="V25" s="1368"/>
      <c r="W25" s="1367"/>
      <c r="X25" s="1367"/>
      <c r="Y25" s="1367"/>
      <c r="Z25" s="1374"/>
      <c r="AA25" s="1375"/>
      <c r="AB25" s="1375"/>
      <c r="AC25" s="1375"/>
      <c r="AD25" s="1375"/>
    </row>
    <row r="26" spans="1:37" ht="15">
      <c r="A26" s="2818"/>
      <c r="B26" s="2805" t="s">
        <v>2873</v>
      </c>
      <c r="C26" s="205">
        <f ca="1">E29+SUM(E33:E39)</f>
        <v>86145</v>
      </c>
      <c r="D26" s="2819"/>
      <c r="E26" s="2765"/>
      <c r="F26" s="2820"/>
      <c r="G26" s="2765"/>
      <c r="H26" s="2765"/>
      <c r="I26" s="2765"/>
      <c r="J26" s="2821"/>
      <c r="K26" s="1367"/>
      <c r="R26" s="1373"/>
      <c r="S26" s="1373"/>
      <c r="T26" s="1368"/>
      <c r="U26" s="1368"/>
      <c r="V26" s="1368"/>
      <c r="W26" s="1367"/>
      <c r="X26" s="1367"/>
      <c r="Y26" s="1367"/>
      <c r="Z26" s="1374"/>
      <c r="AA26" s="1375"/>
      <c r="AB26" s="1375"/>
      <c r="AC26" s="1375"/>
      <c r="AD26" s="1375"/>
    </row>
    <row r="27" spans="1:37" ht="15.75" thickBot="1">
      <c r="A27" s="2818"/>
      <c r="B27" s="2822" t="s">
        <v>2874</v>
      </c>
      <c r="C27" s="928" t="e">
        <f ca="1">E30+SUM(I33:I39)</f>
        <v>#DIV/0!</v>
      </c>
      <c r="D27" s="2823"/>
      <c r="E27" s="2824"/>
      <c r="F27" s="2825"/>
      <c r="G27" s="2824"/>
      <c r="H27" s="2824"/>
      <c r="I27" s="2824"/>
      <c r="J27" s="282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7"/>
      <c r="B28" s="2828" t="s">
        <v>2875</v>
      </c>
      <c r="C28" s="2829" t="s">
        <v>2876</v>
      </c>
      <c r="D28" s="2829" t="s">
        <v>2877</v>
      </c>
      <c r="E28" s="2830" t="s">
        <v>2878</v>
      </c>
      <c r="F28" s="2831"/>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2"/>
      <c r="B29" s="2833" t="s">
        <v>2879</v>
      </c>
      <c r="C29" s="205">
        <f ca="1">ROUND(C5*C18*C19*C20*C21*C24,0)</f>
        <v>28470</v>
      </c>
      <c r="D29" s="2834">
        <f>项目详细情况!H22</f>
        <v>20803.14</v>
      </c>
      <c r="E29" s="939">
        <f ca="1">ROUND(C29*D29/10000,0)</f>
        <v>59227</v>
      </c>
      <c r="F29" s="2835" t="s">
        <v>2880</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3"/>
      <c r="AH29" s="2713"/>
      <c r="AI29" s="2713"/>
      <c r="AJ29" s="2713"/>
    </row>
    <row r="30" spans="1:37" ht="25.5" thickBot="1">
      <c r="A30" s="2838"/>
      <c r="B30" s="2839" t="s">
        <v>2881</v>
      </c>
      <c r="C30" s="228">
        <f ca="1">ROUND(IF(E2="工业",C29*M39,C29*M38),0)</f>
        <v>7118</v>
      </c>
      <c r="D30" s="2840"/>
      <c r="E30" s="939">
        <f ca="1">ROUND(C30*D30/10000,0)</f>
        <v>0</v>
      </c>
      <c r="F30" s="2841" t="s">
        <v>2882</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3"/>
      <c r="AH30" s="2713"/>
      <c r="AI30" s="2713"/>
      <c r="AJ30" s="2713"/>
    </row>
    <row r="31" spans="1:37" ht="14.25">
      <c r="A31" s="2844"/>
      <c r="B31" s="2845" t="s">
        <v>2883</v>
      </c>
      <c r="C31" s="2846" t="s">
        <v>2884</v>
      </c>
      <c r="D31" s="2753"/>
      <c r="E31" s="2846"/>
      <c r="F31" s="2846"/>
      <c r="G31" s="2751" t="s">
        <v>2885</v>
      </c>
      <c r="H31" s="2753"/>
      <c r="I31" s="2847"/>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3"/>
      <c r="AH31" s="2713"/>
      <c r="AI31" s="2713"/>
      <c r="AJ31" s="2713"/>
    </row>
    <row r="32" spans="1:37" ht="24">
      <c r="A32" s="2832"/>
      <c r="B32" s="2848"/>
      <c r="C32" s="500" t="s">
        <v>2876</v>
      </c>
      <c r="D32" s="497" t="s">
        <v>2877</v>
      </c>
      <c r="E32" s="497" t="s">
        <v>2878</v>
      </c>
      <c r="F32" s="387" t="s">
        <v>2886</v>
      </c>
      <c r="G32" s="2849" t="s">
        <v>2876</v>
      </c>
      <c r="H32" s="2849" t="s">
        <v>2877</v>
      </c>
      <c r="I32" s="2849" t="s">
        <v>2878</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3"/>
      <c r="AH32" s="2713"/>
      <c r="AI32" s="2713"/>
      <c r="AJ32" s="2713"/>
    </row>
    <row r="33" spans="1:37" ht="36" customHeight="1">
      <c r="A33" s="3183" t="s">
        <v>2887</v>
      </c>
      <c r="B33" s="2850" t="s">
        <v>2888</v>
      </c>
      <c r="C33" s="205">
        <f ca="1">ROUND(D5*C19*C20*C24*F33,0)</f>
        <v>10698</v>
      </c>
      <c r="D33" s="2834">
        <f>项目详细情况!H33</f>
        <v>25161.47</v>
      </c>
      <c r="E33" s="199">
        <f ca="1">ROUND(C33*D33/10000,0)</f>
        <v>26918</v>
      </c>
      <c r="F33" s="199">
        <f>SUMIF(修正!A45:A56,G2,修正!B45:B56)</f>
        <v>0.7</v>
      </c>
      <c r="G33" s="199">
        <f t="shared" ref="G33:G39" ca="1" si="6">ROUND(IF(E2="工业",C33*$M$39,C33*$M$38),0)</f>
        <v>2675</v>
      </c>
      <c r="H33" s="199">
        <f>D33</f>
        <v>25161.47</v>
      </c>
      <c r="I33" s="199">
        <f ca="1">ROUND(G33*H33/10000,0)</f>
        <v>6731</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84"/>
      <c r="B34" s="2757" t="s">
        <v>2889</v>
      </c>
      <c r="C34" s="205">
        <f ca="1">ROUND(D5*C19*C20*C24*F34,0)</f>
        <v>6113</v>
      </c>
      <c r="D34" s="2834"/>
      <c r="E34" s="199">
        <f t="shared" ref="E34:E39" ca="1" si="7">ROUND(C34*D34/10000,0)</f>
        <v>0</v>
      </c>
      <c r="F34" s="199">
        <f>SUMIF(修正!A45:A56,G2,修正!C45:C56)</f>
        <v>0.4</v>
      </c>
      <c r="G34" s="199">
        <f t="shared" ca="1" si="6"/>
        <v>1528</v>
      </c>
      <c r="H34" s="199">
        <f t="shared" ref="H34:H39" si="8">D34</f>
        <v>0</v>
      </c>
      <c r="I34" s="199">
        <f t="shared" ref="I34:I39" ca="1" si="9">ROUND(G34*H34/10000,0)</f>
        <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84"/>
      <c r="B35" s="2757" t="s">
        <v>2890</v>
      </c>
      <c r="C35" s="205">
        <f ca="1">ROUND(D5*C19*C20*C24*F35,0)</f>
        <v>4279</v>
      </c>
      <c r="D35" s="2834"/>
      <c r="E35" s="199">
        <f t="shared" ca="1" si="7"/>
        <v>0</v>
      </c>
      <c r="F35" s="199">
        <f>SUMIF(修正!A45:A56,G2,修正!D45:D56)</f>
        <v>0.28000000000000003</v>
      </c>
      <c r="G35" s="199">
        <f t="shared" ca="1" si="6"/>
        <v>1070</v>
      </c>
      <c r="H35" s="199">
        <f t="shared" si="8"/>
        <v>0</v>
      </c>
      <c r="I35" s="199">
        <f t="shared" ca="1" si="9"/>
        <v>0</v>
      </c>
      <c r="J35" s="2851"/>
      <c r="K35" s="1367"/>
      <c r="L35" s="1367"/>
      <c r="M35" s="1367"/>
      <c r="N35" s="1367"/>
      <c r="O35" s="1367"/>
      <c r="P35" s="1367"/>
      <c r="Q35" s="1367"/>
      <c r="R35" s="1367"/>
      <c r="S35" s="1367"/>
      <c r="T35" s="1367"/>
      <c r="U35" s="1367"/>
      <c r="V35" s="1367"/>
      <c r="W35" s="1367"/>
      <c r="X35" s="1367"/>
      <c r="Y35" s="1367"/>
      <c r="Z35" s="1368"/>
    </row>
    <row r="36" spans="1:37" ht="13.5" thickBot="1">
      <c r="A36" s="3185"/>
      <c r="B36" s="2757" t="s">
        <v>2891</v>
      </c>
      <c r="C36" s="205">
        <f ca="1">ROUND(D5*C19*C20*C24*F36,0)</f>
        <v>3821</v>
      </c>
      <c r="D36" s="2834"/>
      <c r="E36" s="199">
        <f t="shared" ca="1" si="7"/>
        <v>0</v>
      </c>
      <c r="F36" s="199">
        <f>SUMIF(修正!A45:A56,G2,修正!E45:E56)</f>
        <v>0.25</v>
      </c>
      <c r="G36" s="199">
        <f t="shared" ca="1" si="6"/>
        <v>955</v>
      </c>
      <c r="H36" s="199">
        <f t="shared" si="8"/>
        <v>0</v>
      </c>
      <c r="I36" s="199">
        <f t="shared" ca="1" si="9"/>
        <v>0</v>
      </c>
      <c r="J36" s="2851"/>
      <c r="K36" s="1367"/>
      <c r="L36" s="2712"/>
      <c r="M36" s="2712"/>
      <c r="N36" s="1367"/>
      <c r="O36" s="1367"/>
      <c r="P36" s="1367"/>
      <c r="Q36" s="1367"/>
      <c r="R36" s="1367"/>
      <c r="S36" s="1367"/>
      <c r="T36" s="1367"/>
      <c r="U36" s="1367"/>
      <c r="V36" s="1367"/>
      <c r="W36" s="1367"/>
      <c r="X36" s="1367"/>
      <c r="Y36" s="1367"/>
      <c r="Z36" s="1368"/>
    </row>
    <row r="37" spans="1:37">
      <c r="A37" s="2852"/>
      <c r="B37" s="2757" t="s">
        <v>2892</v>
      </c>
      <c r="C37" s="199">
        <f ca="1">ROUND(C5*C19*C20*C24*F37,0)</f>
        <v>3821</v>
      </c>
      <c r="D37" s="2834"/>
      <c r="E37" s="199">
        <f t="shared" ca="1" si="7"/>
        <v>0</v>
      </c>
      <c r="F37" s="205">
        <f>SUMIF(修正!A45:A56,G2,修正!F45:F56)</f>
        <v>0.25</v>
      </c>
      <c r="G37" s="199">
        <f t="shared" ca="1" si="6"/>
        <v>955</v>
      </c>
      <c r="H37" s="199">
        <f t="shared" si="8"/>
        <v>0</v>
      </c>
      <c r="I37" s="199">
        <f t="shared" ca="1" si="9"/>
        <v>0</v>
      </c>
      <c r="J37" s="2851"/>
      <c r="K37" s="1367"/>
      <c r="L37" s="2853" t="s">
        <v>2893</v>
      </c>
      <c r="M37" s="2854"/>
      <c r="N37" s="1367"/>
      <c r="O37" s="1367"/>
      <c r="P37" s="1367"/>
      <c r="Q37" s="1367"/>
      <c r="R37" s="1367"/>
      <c r="S37" s="1367"/>
      <c r="T37" s="1367"/>
      <c r="U37" s="1367"/>
      <c r="V37" s="1367"/>
      <c r="W37" s="1367"/>
      <c r="X37" s="1367"/>
      <c r="Y37" s="1367"/>
      <c r="Z37" s="1368"/>
    </row>
    <row r="38" spans="1:37">
      <c r="A38" s="2852"/>
      <c r="B38" s="2757" t="s">
        <v>2894</v>
      </c>
      <c r="C38" s="199">
        <f ca="1">ROUND(C5*C19*C20*C24*F38,0)</f>
        <v>3821</v>
      </c>
      <c r="D38" s="2834"/>
      <c r="E38" s="199">
        <f t="shared" ca="1" si="7"/>
        <v>0</v>
      </c>
      <c r="F38" s="205">
        <f>SUMIF(修正!A45:A56,G2,修正!G45:G56)</f>
        <v>0.25</v>
      </c>
      <c r="G38" s="199">
        <f t="shared" ca="1" si="6"/>
        <v>955</v>
      </c>
      <c r="H38" s="199">
        <f t="shared" si="8"/>
        <v>0</v>
      </c>
      <c r="I38" s="199">
        <f t="shared" ca="1" si="9"/>
        <v>0</v>
      </c>
      <c r="J38" s="2851"/>
      <c r="K38" s="1367"/>
      <c r="L38" s="1884" t="s">
        <v>2895</v>
      </c>
      <c r="M38" s="2855">
        <v>0.25</v>
      </c>
      <c r="N38" s="1367"/>
      <c r="O38" s="1367"/>
      <c r="P38" s="1367"/>
      <c r="Q38" s="1367"/>
      <c r="R38" s="1367"/>
      <c r="S38" s="1367"/>
      <c r="T38" s="1367"/>
      <c r="U38" s="1367"/>
      <c r="V38" s="1367"/>
      <c r="W38" s="1367"/>
      <c r="X38" s="1367"/>
      <c r="Y38" s="1367"/>
      <c r="Z38" s="1368"/>
    </row>
    <row r="39" spans="1:37" ht="13.5" thickBot="1">
      <c r="A39" s="2838"/>
      <c r="B39" s="2856" t="s">
        <v>2896</v>
      </c>
      <c r="C39" s="228">
        <f ca="1">ROUND(C5*C19*C20*C24*F39,0)</f>
        <v>3057</v>
      </c>
      <c r="D39" s="2840"/>
      <c r="E39" s="228">
        <f t="shared" ca="1" si="7"/>
        <v>0</v>
      </c>
      <c r="F39" s="929">
        <f>SUMIF(修正!A45:A56,G2,修正!H45:H56)</f>
        <v>0.2</v>
      </c>
      <c r="G39" s="228" t="e">
        <f t="shared" si="6"/>
        <v>#DIV/0!</v>
      </c>
      <c r="H39" s="228">
        <f t="shared" si="8"/>
        <v>0</v>
      </c>
      <c r="I39" s="228" t="e">
        <f t="shared" si="9"/>
        <v>#DIV/0!</v>
      </c>
      <c r="J39" s="2857"/>
      <c r="K39" s="1367"/>
      <c r="L39" s="2858" t="s">
        <v>2839</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0"/>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2897</v>
      </c>
      <c r="B45" s="2862"/>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c r="A46" s="2863" t="s">
        <v>2898</v>
      </c>
      <c r="B46" s="2864">
        <f>1+E48</f>
        <v>1.0589999999999999</v>
      </c>
      <c r="C46" s="2865"/>
      <c r="D46" s="808"/>
      <c r="E46" s="809"/>
      <c r="F46" s="2866"/>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c r="A47" s="2867" t="s">
        <v>2899</v>
      </c>
      <c r="B47" s="1806" t="s">
        <v>2900</v>
      </c>
      <c r="C47" s="1806" t="s">
        <v>2901</v>
      </c>
      <c r="D47" s="1806" t="s">
        <v>2902</v>
      </c>
      <c r="E47" s="813" t="s">
        <v>2903</v>
      </c>
      <c r="F47" s="2868" t="s">
        <v>2904</v>
      </c>
      <c r="G47" s="1806" t="s">
        <v>754</v>
      </c>
      <c r="H47" s="2869" t="s">
        <v>2905</v>
      </c>
      <c r="I47" s="1806" t="s">
        <v>2906</v>
      </c>
      <c r="J47" s="602" t="s">
        <v>2555</v>
      </c>
      <c r="K47" s="602" t="s">
        <v>2556</v>
      </c>
      <c r="L47" s="602" t="s">
        <v>2557</v>
      </c>
      <c r="M47" s="602" t="s">
        <v>2558</v>
      </c>
      <c r="N47" s="602" t="s">
        <v>2559</v>
      </c>
      <c r="AA47" s="1368"/>
      <c r="AB47" s="1368"/>
      <c r="AC47" s="1368"/>
      <c r="AD47" s="1368"/>
      <c r="AE47" s="1368"/>
      <c r="AF47" s="1368"/>
      <c r="AG47" s="1368"/>
      <c r="AH47" s="1368"/>
      <c r="AI47" s="1368"/>
      <c r="AJ47" s="1368"/>
      <c r="AK47" s="1368"/>
    </row>
    <row r="48" spans="1:37" s="1367" customFormat="1" ht="58.5" customHeight="1">
      <c r="A48" s="2867" t="s">
        <v>2907</v>
      </c>
      <c r="B48" s="2870" t="str">
        <f>估价对象房地状况!C4</f>
        <v>估价对象位于石景山，周边商业氛围成熟较好，人流量大，商业繁华度较好</v>
      </c>
      <c r="C48" s="2762" t="s">
        <v>3036</v>
      </c>
      <c r="D48" s="1283">
        <f t="shared" ref="D48:D56" si="10">SUMIF($J$47:$N$47,C48,J48:N48)</f>
        <v>1.6500000000000001E-2</v>
      </c>
      <c r="E48" s="815">
        <f>ROUND(SUM(D48:D56),4)</f>
        <v>5.8999999999999997E-2</v>
      </c>
      <c r="F48" s="2494">
        <f>IF(E2="商业",SUMIF(L1:L12,G2,N1:N12),"——")</f>
        <v>0.1</v>
      </c>
      <c r="G48" s="2986">
        <v>1.6500000000000001E-2</v>
      </c>
      <c r="H48" s="1285">
        <f t="shared" ref="H48:H56" si="11">IFERROR(ROUNDDOWN($F$48*I48/2,4),"——")</f>
        <v>1.6500000000000001E-2</v>
      </c>
      <c r="I48" s="814">
        <v>0.33</v>
      </c>
      <c r="J48" s="1282">
        <f t="shared" ref="J48:J56" si="12">K48+$G48</f>
        <v>3.3000000000000002E-2</v>
      </c>
      <c r="K48" s="1282">
        <f t="shared" ref="K48:K56" si="13">$L48+$G48</f>
        <v>1.6500000000000001E-2</v>
      </c>
      <c r="L48" s="1282">
        <v>0</v>
      </c>
      <c r="M48" s="1282">
        <f t="shared" ref="M48:N56" si="14">L48-$G48</f>
        <v>-1.6500000000000001E-2</v>
      </c>
      <c r="N48" s="1282">
        <f t="shared" si="14"/>
        <v>-3.3000000000000002E-2</v>
      </c>
      <c r="AA48" s="1368"/>
      <c r="AB48" s="1368"/>
      <c r="AC48" s="1368"/>
      <c r="AD48" s="1368"/>
      <c r="AE48" s="1368"/>
      <c r="AF48" s="1368"/>
      <c r="AG48" s="1368"/>
      <c r="AH48" s="1368"/>
      <c r="AI48" s="1368"/>
      <c r="AJ48" s="1368"/>
      <c r="AK48" s="1368"/>
    </row>
    <row r="49" spans="1:37" s="1367" customFormat="1" ht="68.25" customHeight="1">
      <c r="A49" s="2867" t="s">
        <v>2908</v>
      </c>
      <c r="B49" s="2983" t="str">
        <f>估价对象房地状况!C18</f>
        <v>估价对象周边道路状况好、公共交通通达情况好、停车便捷程度好，综合评价交通便捷度较好</v>
      </c>
      <c r="C49" s="2984" t="s">
        <v>3036</v>
      </c>
      <c r="D49" s="1283">
        <f t="shared" si="10"/>
        <v>1.2500000000000001E-2</v>
      </c>
      <c r="E49" s="816"/>
      <c r="F49" s="2494"/>
      <c r="G49" s="2986">
        <v>1.2500000000000001E-2</v>
      </c>
      <c r="H49" s="1285">
        <f t="shared" si="11"/>
        <v>1.2500000000000001E-2</v>
      </c>
      <c r="I49" s="814">
        <v>0.25</v>
      </c>
      <c r="J49" s="1282">
        <f t="shared" si="12"/>
        <v>2.5000000000000001E-2</v>
      </c>
      <c r="K49" s="1282">
        <f t="shared" si="13"/>
        <v>1.2500000000000001E-2</v>
      </c>
      <c r="L49" s="1282">
        <v>0</v>
      </c>
      <c r="M49" s="1282">
        <f t="shared" si="14"/>
        <v>-1.2500000000000001E-2</v>
      </c>
      <c r="N49" s="1282">
        <f t="shared" si="14"/>
        <v>-2.5000000000000001E-2</v>
      </c>
      <c r="AA49" s="1368"/>
      <c r="AB49" s="1368"/>
      <c r="AC49" s="1368"/>
      <c r="AD49" s="1368"/>
      <c r="AE49" s="1368"/>
      <c r="AF49" s="1368"/>
      <c r="AG49" s="1368"/>
      <c r="AH49" s="1368"/>
      <c r="AI49" s="1368"/>
      <c r="AJ49" s="1368"/>
      <c r="AK49" s="1368"/>
    </row>
    <row r="50" spans="1:37" s="1367" customFormat="1" ht="24">
      <c r="A50" s="2867" t="s">
        <v>2909</v>
      </c>
      <c r="B50" s="2871" t="str">
        <f>估价对象房地状况!C19</f>
        <v>较一致</v>
      </c>
      <c r="C50" s="2762" t="s">
        <v>3036</v>
      </c>
      <c r="D50" s="1283">
        <f t="shared" si="10"/>
        <v>2.5000000000000001E-3</v>
      </c>
      <c r="E50" s="816"/>
      <c r="F50" s="2494"/>
      <c r="G50" s="2986">
        <v>2.5000000000000001E-3</v>
      </c>
      <c r="H50" s="1285">
        <f t="shared" si="11"/>
        <v>2.5000000000000001E-3</v>
      </c>
      <c r="I50" s="814">
        <v>0.05</v>
      </c>
      <c r="J50" s="1282">
        <f t="shared" si="12"/>
        <v>5.0000000000000001E-3</v>
      </c>
      <c r="K50" s="1282">
        <f t="shared" si="13"/>
        <v>2.5000000000000001E-3</v>
      </c>
      <c r="L50" s="1282">
        <v>0</v>
      </c>
      <c r="M50" s="1282">
        <f t="shared" si="14"/>
        <v>-2.5000000000000001E-3</v>
      </c>
      <c r="N50" s="1282">
        <f t="shared" si="14"/>
        <v>-5.0000000000000001E-3</v>
      </c>
      <c r="AA50" s="1368"/>
      <c r="AB50" s="1368"/>
      <c r="AC50" s="1368"/>
      <c r="AD50" s="1368"/>
      <c r="AE50" s="1368"/>
      <c r="AF50" s="1368"/>
      <c r="AG50" s="1368"/>
      <c r="AH50" s="1368"/>
      <c r="AI50" s="1368"/>
      <c r="AJ50" s="1368"/>
      <c r="AK50" s="1368"/>
    </row>
    <row r="51" spans="1:37" s="1367" customFormat="1" ht="41.25" customHeight="1">
      <c r="A51" s="2867" t="s">
        <v>2910</v>
      </c>
      <c r="B51" s="2957" t="s">
        <v>3114</v>
      </c>
      <c r="C51" s="2762" t="s">
        <v>3035</v>
      </c>
      <c r="D51" s="1283">
        <f t="shared" si="10"/>
        <v>5.0000000000000001E-3</v>
      </c>
      <c r="E51" s="816"/>
      <c r="F51" s="2494"/>
      <c r="G51" s="2986">
        <v>2.5000000000000001E-3</v>
      </c>
      <c r="H51" s="1285">
        <f t="shared" si="11"/>
        <v>2.5000000000000001E-3</v>
      </c>
      <c r="I51" s="814">
        <v>0.05</v>
      </c>
      <c r="J51" s="1282">
        <f t="shared" si="12"/>
        <v>5.0000000000000001E-3</v>
      </c>
      <c r="K51" s="1282">
        <f t="shared" si="13"/>
        <v>2.5000000000000001E-3</v>
      </c>
      <c r="L51" s="1282">
        <v>0</v>
      </c>
      <c r="M51" s="1282">
        <f t="shared" si="14"/>
        <v>-2.5000000000000001E-3</v>
      </c>
      <c r="N51" s="1282">
        <f t="shared" si="14"/>
        <v>-5.0000000000000001E-3</v>
      </c>
      <c r="AA51" s="1368"/>
      <c r="AB51" s="1368"/>
      <c r="AC51" s="1368"/>
      <c r="AD51" s="1368"/>
      <c r="AE51" s="1368"/>
      <c r="AF51" s="1368"/>
      <c r="AG51" s="1368"/>
      <c r="AH51" s="1368"/>
      <c r="AI51" s="1368"/>
      <c r="AJ51" s="1368"/>
      <c r="AK51" s="1368"/>
    </row>
    <row r="52" spans="1:37" s="1367" customFormat="1" ht="24">
      <c r="A52" s="2867" t="s">
        <v>2912</v>
      </c>
      <c r="B52" s="2871" t="str">
        <f>估价对象房地状况!C24</f>
        <v>主干道-石景山路</v>
      </c>
      <c r="C52" s="2762" t="s">
        <v>3036</v>
      </c>
      <c r="D52" s="1283">
        <f t="shared" si="10"/>
        <v>4.0000000000000001E-3</v>
      </c>
      <c r="E52" s="816"/>
      <c r="F52" s="2494"/>
      <c r="G52" s="2986">
        <v>4.0000000000000001E-3</v>
      </c>
      <c r="H52" s="1285">
        <f t="shared" si="11"/>
        <v>4.0000000000000001E-3</v>
      </c>
      <c r="I52" s="814">
        <v>0.08</v>
      </c>
      <c r="J52" s="1282">
        <f t="shared" si="12"/>
        <v>8.0000000000000002E-3</v>
      </c>
      <c r="K52" s="1282">
        <f t="shared" si="13"/>
        <v>4.0000000000000001E-3</v>
      </c>
      <c r="L52" s="1282">
        <v>0</v>
      </c>
      <c r="M52" s="1282">
        <f t="shared" si="14"/>
        <v>-4.0000000000000001E-3</v>
      </c>
      <c r="N52" s="1282">
        <f t="shared" si="14"/>
        <v>-8.0000000000000002E-3</v>
      </c>
      <c r="AA52" s="1368"/>
      <c r="AB52" s="1368"/>
      <c r="AC52" s="1368"/>
      <c r="AD52" s="1368"/>
      <c r="AE52" s="1368"/>
      <c r="AF52" s="1368"/>
      <c r="AG52" s="1368"/>
      <c r="AH52" s="1368"/>
      <c r="AI52" s="1368"/>
      <c r="AJ52" s="1368"/>
      <c r="AK52" s="1368"/>
    </row>
    <row r="53" spans="1:37" s="1367" customFormat="1" ht="24">
      <c r="A53" s="2867" t="s">
        <v>2913</v>
      </c>
      <c r="B53" s="2958" t="s">
        <v>3115</v>
      </c>
      <c r="C53" s="2762" t="s">
        <v>3035</v>
      </c>
      <c r="D53" s="1283">
        <f t="shared" si="10"/>
        <v>3.0000000000000001E-3</v>
      </c>
      <c r="E53" s="816"/>
      <c r="F53" s="2494"/>
      <c r="G53" s="2986">
        <v>1.5E-3</v>
      </c>
      <c r="H53" s="1285">
        <f t="shared" si="11"/>
        <v>1.5E-3</v>
      </c>
      <c r="I53" s="814">
        <v>0.03</v>
      </c>
      <c r="J53" s="1282">
        <f t="shared" si="12"/>
        <v>3.0000000000000001E-3</v>
      </c>
      <c r="K53" s="1282">
        <f t="shared" si="13"/>
        <v>1.5E-3</v>
      </c>
      <c r="L53" s="1282">
        <v>0</v>
      </c>
      <c r="M53" s="1282">
        <f t="shared" si="14"/>
        <v>-1.5E-3</v>
      </c>
      <c r="N53" s="1282">
        <f t="shared" si="14"/>
        <v>-3.0000000000000001E-3</v>
      </c>
      <c r="AA53" s="1368"/>
      <c r="AB53" s="1368"/>
      <c r="AC53" s="1368"/>
      <c r="AD53" s="1368"/>
      <c r="AE53" s="1368"/>
      <c r="AF53" s="1368"/>
      <c r="AG53" s="1368"/>
      <c r="AH53" s="1368"/>
      <c r="AI53" s="1368"/>
      <c r="AJ53" s="1368"/>
      <c r="AK53" s="1368"/>
    </row>
    <row r="54" spans="1:37" s="1367" customFormat="1" ht="42" customHeight="1">
      <c r="A54" s="2874" t="s">
        <v>2915</v>
      </c>
      <c r="B54" s="1722" t="str">
        <f>估价对象房地状况!C21</f>
        <v>估价对象所在区域公共配套设施齐备情况较好</v>
      </c>
      <c r="C54" s="2762" t="s">
        <v>3036</v>
      </c>
      <c r="D54" s="1283">
        <f t="shared" si="10"/>
        <v>2.5000000000000001E-3</v>
      </c>
      <c r="E54" s="816"/>
      <c r="F54" s="2494"/>
      <c r="G54" s="2986">
        <v>2.5000000000000001E-3</v>
      </c>
      <c r="H54" s="1285">
        <f t="shared" si="11"/>
        <v>2.5000000000000001E-3</v>
      </c>
      <c r="I54" s="814">
        <v>0.05</v>
      </c>
      <c r="J54" s="1282">
        <f t="shared" si="12"/>
        <v>5.0000000000000001E-3</v>
      </c>
      <c r="K54" s="1282">
        <f t="shared" si="13"/>
        <v>2.5000000000000001E-3</v>
      </c>
      <c r="L54" s="1282">
        <v>0</v>
      </c>
      <c r="M54" s="1282">
        <f t="shared" si="14"/>
        <v>-2.5000000000000001E-3</v>
      </c>
      <c r="N54" s="1282">
        <f t="shared" si="14"/>
        <v>-5.0000000000000001E-3</v>
      </c>
      <c r="AA54" s="1368"/>
      <c r="AB54" s="1368"/>
      <c r="AC54" s="1368"/>
      <c r="AD54" s="1368"/>
      <c r="AE54" s="1368"/>
      <c r="AF54" s="1368"/>
      <c r="AG54" s="1368"/>
      <c r="AH54" s="1368"/>
      <c r="AI54" s="1368"/>
      <c r="AJ54" s="1368"/>
      <c r="AK54" s="1368"/>
    </row>
    <row r="55" spans="1:37" s="1367" customFormat="1" ht="36.75" customHeight="1">
      <c r="A55" s="2874" t="s">
        <v>2916</v>
      </c>
      <c r="B55" s="2871" t="str">
        <f>估价对象房地状况!C22</f>
        <v>估价对象所在区域基础设施水平高</v>
      </c>
      <c r="C55" s="2762" t="s">
        <v>3035</v>
      </c>
      <c r="D55" s="1283">
        <f t="shared" si="10"/>
        <v>0.01</v>
      </c>
      <c r="E55" s="816"/>
      <c r="F55" s="2494"/>
      <c r="G55" s="2986">
        <v>5.0000000000000001E-3</v>
      </c>
      <c r="H55" s="1285">
        <f t="shared" si="11"/>
        <v>5.0000000000000001E-3</v>
      </c>
      <c r="I55" s="814">
        <v>0.1</v>
      </c>
      <c r="J55" s="1282">
        <f t="shared" si="12"/>
        <v>0.01</v>
      </c>
      <c r="K55" s="1282">
        <f t="shared" si="13"/>
        <v>5.0000000000000001E-3</v>
      </c>
      <c r="L55" s="1282">
        <v>0</v>
      </c>
      <c r="M55" s="1282">
        <f t="shared" si="14"/>
        <v>-5.0000000000000001E-3</v>
      </c>
      <c r="N55" s="1282">
        <f t="shared" si="14"/>
        <v>-0.01</v>
      </c>
      <c r="AA55" s="1368"/>
      <c r="AB55" s="1368"/>
      <c r="AC55" s="1368"/>
      <c r="AD55" s="1368"/>
      <c r="AE55" s="1368"/>
      <c r="AF55" s="1368"/>
      <c r="AG55" s="1368"/>
      <c r="AH55" s="1368"/>
      <c r="AI55" s="1368"/>
      <c r="AJ55" s="1368"/>
      <c r="AK55" s="1368"/>
    </row>
    <row r="56" spans="1:37" s="1367" customFormat="1" ht="47.25" customHeight="1" thickBot="1">
      <c r="A56" s="2875" t="s">
        <v>2917</v>
      </c>
      <c r="B56" s="2985" t="str">
        <f>估价对象房地状况!C20</f>
        <v>区域自然环境及人文环境好；综合评价环境状况较好</v>
      </c>
      <c r="C56" s="2984" t="s">
        <v>3036</v>
      </c>
      <c r="D56" s="1283">
        <f t="shared" si="10"/>
        <v>3.0000000000000001E-3</v>
      </c>
      <c r="E56" s="819"/>
      <c r="F56" s="2494"/>
      <c r="G56" s="2986">
        <v>3.0000000000000001E-3</v>
      </c>
      <c r="H56" s="1285">
        <f t="shared" si="11"/>
        <v>3.0000000000000001E-3</v>
      </c>
      <c r="I56" s="818">
        <v>0.06</v>
      </c>
      <c r="J56" s="1282">
        <f t="shared" si="12"/>
        <v>6.0000000000000001E-3</v>
      </c>
      <c r="K56" s="1282">
        <f t="shared" si="13"/>
        <v>3.0000000000000001E-3</v>
      </c>
      <c r="L56" s="1282">
        <v>0</v>
      </c>
      <c r="M56" s="1282">
        <f t="shared" si="14"/>
        <v>-3.0000000000000001E-3</v>
      </c>
      <c r="N56" s="1282">
        <f t="shared" si="14"/>
        <v>-6.0000000000000001E-3</v>
      </c>
      <c r="AA56" s="1368"/>
      <c r="AB56" s="1368"/>
      <c r="AC56" s="1368"/>
      <c r="AD56" s="1368"/>
      <c r="AE56" s="1368"/>
      <c r="AF56" s="1368"/>
      <c r="AG56" s="1368"/>
      <c r="AH56" s="1368"/>
      <c r="AI56" s="1368"/>
      <c r="AJ56" s="1368"/>
      <c r="AK56" s="1368"/>
    </row>
    <row r="57" spans="1:37" s="1367" customFormat="1" ht="15">
      <c r="A57" s="2863" t="s">
        <v>2918</v>
      </c>
      <c r="B57" s="2864">
        <f>1+E59</f>
        <v>1</v>
      </c>
      <c r="C57" s="808"/>
      <c r="D57" s="808"/>
      <c r="E57" s="809"/>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2899</v>
      </c>
      <c r="B58" s="1806"/>
      <c r="C58" s="1806" t="s">
        <v>2901</v>
      </c>
      <c r="D58" s="1806" t="s">
        <v>2902</v>
      </c>
      <c r="E58" s="813" t="s">
        <v>2903</v>
      </c>
      <c r="F58" s="2868" t="s">
        <v>2919</v>
      </c>
      <c r="G58" s="1806" t="s">
        <v>754</v>
      </c>
      <c r="H58" s="2869" t="s">
        <v>2905</v>
      </c>
      <c r="I58" s="1806" t="s">
        <v>2906</v>
      </c>
      <c r="J58" s="602" t="s">
        <v>2555</v>
      </c>
      <c r="K58" s="602" t="s">
        <v>2556</v>
      </c>
      <c r="L58" s="602" t="s">
        <v>2557</v>
      </c>
      <c r="M58" s="602" t="s">
        <v>2558</v>
      </c>
      <c r="N58" s="602" t="s">
        <v>2559</v>
      </c>
      <c r="AA58" s="1368"/>
      <c r="AB58" s="1368"/>
      <c r="AC58" s="1368"/>
      <c r="AD58" s="1368"/>
      <c r="AE58" s="1368"/>
      <c r="AF58" s="1368"/>
      <c r="AG58" s="1368"/>
      <c r="AH58" s="1368"/>
      <c r="AI58" s="1368"/>
      <c r="AJ58" s="1368"/>
      <c r="AK58" s="1368"/>
    </row>
    <row r="59" spans="1:37" s="1367" customFormat="1" ht="24">
      <c r="A59" s="2867" t="s">
        <v>2920</v>
      </c>
      <c r="B59" s="2870">
        <f>估价对象房地状况!C17</f>
        <v>0</v>
      </c>
      <c r="C59" s="2762"/>
      <c r="D59" s="1283">
        <f t="shared" ref="D59:D67" si="15">SUMIF($J$58:$N$58,C59,J59:N59)</f>
        <v>0</v>
      </c>
      <c r="E59" s="815">
        <f>ROUND(SUM(D59:D67),4)</f>
        <v>0</v>
      </c>
      <c r="F59" s="2494"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7" t="s">
        <v>2908</v>
      </c>
      <c r="B60" s="2871" t="str">
        <f>估价对象房地状况!C18</f>
        <v>估价对象周边道路状况好、公共交通通达情况好、停车便捷程度好，综合评价交通便捷度较好</v>
      </c>
      <c r="C60" s="2762"/>
      <c r="D60" s="1283">
        <f t="shared" si="15"/>
        <v>0</v>
      </c>
      <c r="E60" s="816"/>
      <c r="F60" s="2494"/>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2909</v>
      </c>
      <c r="B61" s="2871" t="str">
        <f>估价对象房地状况!C19</f>
        <v>较一致</v>
      </c>
      <c r="C61" s="2762"/>
      <c r="D61" s="1283">
        <f t="shared" si="15"/>
        <v>0</v>
      </c>
      <c r="E61" s="816"/>
      <c r="F61" s="2494"/>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2910</v>
      </c>
      <c r="B62" s="2872" t="s">
        <v>2911</v>
      </c>
      <c r="C62" s="2762"/>
      <c r="D62" s="1283">
        <f t="shared" si="15"/>
        <v>0</v>
      </c>
      <c r="E62" s="816"/>
      <c r="F62" s="2494"/>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2912</v>
      </c>
      <c r="B63" s="2871" t="str">
        <f>估价对象房地状况!C24</f>
        <v>主干道-石景山路</v>
      </c>
      <c r="C63" s="2762"/>
      <c r="D63" s="1283">
        <f t="shared" si="15"/>
        <v>0</v>
      </c>
      <c r="E63" s="816"/>
      <c r="F63" s="2494"/>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2913</v>
      </c>
      <c r="B64" s="2873" t="s">
        <v>2914</v>
      </c>
      <c r="C64" s="2762"/>
      <c r="D64" s="1283">
        <f t="shared" si="15"/>
        <v>0</v>
      </c>
      <c r="E64" s="816"/>
      <c r="F64" s="2494"/>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7" t="s">
        <v>2915</v>
      </c>
      <c r="B65" s="1722" t="str">
        <f>估价对象房地状况!C21</f>
        <v>估价对象所在区域公共配套设施齐备情况较好</v>
      </c>
      <c r="C65" s="2762"/>
      <c r="D65" s="1283">
        <f t="shared" si="15"/>
        <v>0</v>
      </c>
      <c r="E65" s="816"/>
      <c r="F65" s="2494"/>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7" t="s">
        <v>2916</v>
      </c>
      <c r="B66" s="1722" t="str">
        <f>估价对象房地状况!C22</f>
        <v>估价对象所在区域基础设施水平高</v>
      </c>
      <c r="C66" s="2762"/>
      <c r="D66" s="1283">
        <f t="shared" si="15"/>
        <v>0</v>
      </c>
      <c r="E66" s="816"/>
      <c r="F66" s="2494"/>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5" t="s">
        <v>2917</v>
      </c>
      <c r="B67" s="2876" t="str">
        <f>估价对象房地状况!C20</f>
        <v>区域自然环境及人文环境好；综合评价环境状况较好</v>
      </c>
      <c r="C67" s="2762"/>
      <c r="D67" s="1283">
        <f t="shared" si="15"/>
        <v>0</v>
      </c>
      <c r="E67" s="819"/>
      <c r="F67" s="2494"/>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2921</v>
      </c>
      <c r="B68" s="2864">
        <f>1+E70</f>
        <v>1</v>
      </c>
      <c r="C68" s="808"/>
      <c r="D68" s="808"/>
      <c r="E68" s="809"/>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2899</v>
      </c>
      <c r="B69" s="1806"/>
      <c r="C69" s="1806" t="s">
        <v>2901</v>
      </c>
      <c r="D69" s="1806" t="s">
        <v>2902</v>
      </c>
      <c r="E69" s="813" t="s">
        <v>2903</v>
      </c>
      <c r="F69" s="2868" t="s">
        <v>2919</v>
      </c>
      <c r="G69" s="1806" t="s">
        <v>754</v>
      </c>
      <c r="H69" s="2869" t="s">
        <v>2905</v>
      </c>
      <c r="I69" s="1806" t="s">
        <v>2906</v>
      </c>
      <c r="J69" s="602" t="s">
        <v>2555</v>
      </c>
      <c r="K69" s="602" t="s">
        <v>2556</v>
      </c>
      <c r="L69" s="602" t="s">
        <v>2557</v>
      </c>
      <c r="M69" s="602" t="s">
        <v>2558</v>
      </c>
      <c r="N69" s="602" t="s">
        <v>2559</v>
      </c>
      <c r="AA69" s="1368"/>
      <c r="AB69" s="1368"/>
      <c r="AC69" s="1368"/>
      <c r="AD69" s="1368"/>
      <c r="AE69" s="1368"/>
      <c r="AF69" s="1368"/>
      <c r="AG69" s="1368"/>
      <c r="AH69" s="1368"/>
      <c r="AI69" s="1368"/>
      <c r="AJ69" s="1368"/>
      <c r="AK69" s="1368"/>
    </row>
    <row r="70" spans="1:37" s="1367" customFormat="1" ht="24">
      <c r="A70" s="2867" t="s">
        <v>2922</v>
      </c>
      <c r="B70" s="2870">
        <f>估价对象房地状况!C15</f>
        <v>0</v>
      </c>
      <c r="C70" s="2762"/>
      <c r="D70" s="1283">
        <f t="shared" ref="D70:D78" si="20">SUMIF($J$69:$N$69,C70,J70:N70)</f>
        <v>0</v>
      </c>
      <c r="E70" s="815">
        <f>ROUND(SUM(D70:D78),4)</f>
        <v>0</v>
      </c>
      <c r="F70" s="2494"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7" t="s">
        <v>2908</v>
      </c>
      <c r="B71" s="2871" t="str">
        <f>估价对象房地状况!C18</f>
        <v>估价对象周边道路状况好、公共交通通达情况好、停车便捷程度好，综合评价交通便捷度较好</v>
      </c>
      <c r="C71" s="2762"/>
      <c r="D71" s="1283">
        <f t="shared" si="20"/>
        <v>0</v>
      </c>
      <c r="E71" s="820"/>
      <c r="F71" s="2494"/>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2909</v>
      </c>
      <c r="B72" s="2871" t="str">
        <f>估价对象房地状况!C19</f>
        <v>较一致</v>
      </c>
      <c r="C72" s="2762"/>
      <c r="D72" s="1283">
        <f t="shared" si="20"/>
        <v>0</v>
      </c>
      <c r="E72" s="820"/>
      <c r="F72" s="2494"/>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2923</v>
      </c>
      <c r="B73" s="2871" t="str">
        <f>估价对象房地状况!C24</f>
        <v>主干道-石景山路</v>
      </c>
      <c r="C73" s="2762"/>
      <c r="D73" s="1283">
        <f t="shared" si="20"/>
        <v>0</v>
      </c>
      <c r="E73" s="820"/>
      <c r="F73" s="2494"/>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7" t="s">
        <v>2915</v>
      </c>
      <c r="B74" s="1722" t="str">
        <f>估价对象房地状况!C21</f>
        <v>估价对象所在区域公共配套设施齐备情况较好</v>
      </c>
      <c r="C74" s="2762"/>
      <c r="D74" s="1283">
        <f t="shared" si="20"/>
        <v>0</v>
      </c>
      <c r="E74" s="820"/>
      <c r="F74" s="2494"/>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7" t="s">
        <v>2916</v>
      </c>
      <c r="B75" s="1722" t="str">
        <f>估价对象房地状况!C22</f>
        <v>估价对象所在区域基础设施水平高</v>
      </c>
      <c r="C75" s="2762"/>
      <c r="D75" s="1283">
        <f t="shared" si="20"/>
        <v>0</v>
      </c>
      <c r="E75" s="820"/>
      <c r="F75" s="2494"/>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7" t="s">
        <v>2913</v>
      </c>
      <c r="B76" s="2873" t="s">
        <v>2914</v>
      </c>
      <c r="C76" s="2762"/>
      <c r="D76" s="1283">
        <f t="shared" si="20"/>
        <v>0</v>
      </c>
      <c r="E76" s="820"/>
      <c r="F76" s="2494"/>
      <c r="G76" s="1281"/>
      <c r="H76" s="1285" t="str">
        <f t="shared" si="21"/>
        <v>——</v>
      </c>
      <c r="I76" s="814">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7" t="s">
        <v>2917</v>
      </c>
      <c r="B77" s="2870" t="str">
        <f>估价对象房地状况!C20</f>
        <v>区域自然环境及人文环境好；综合评价环境状况较好</v>
      </c>
      <c r="C77" s="2762"/>
      <c r="D77" s="1283">
        <f t="shared" si="20"/>
        <v>0</v>
      </c>
      <c r="E77" s="820"/>
      <c r="F77" s="2494"/>
      <c r="G77" s="1281"/>
      <c r="H77" s="1285" t="str">
        <f t="shared" si="21"/>
        <v>——</v>
      </c>
      <c r="I77" s="814">
        <v>0.15</v>
      </c>
      <c r="J77" s="1282">
        <f t="shared" si="22"/>
        <v>0</v>
      </c>
      <c r="K77" s="1282">
        <f t="shared" si="23"/>
        <v>0</v>
      </c>
      <c r="L77" s="1282">
        <v>0</v>
      </c>
      <c r="M77" s="1282">
        <f t="shared" si="24"/>
        <v>0</v>
      </c>
      <c r="N77" s="1282">
        <f t="shared" si="24"/>
        <v>0</v>
      </c>
      <c r="Z77" s="2713"/>
      <c r="AA77" s="2786"/>
      <c r="AG77" s="1369"/>
      <c r="AK77" s="2786"/>
    </row>
    <row r="78" spans="1:37" ht="24.75" thickBot="1">
      <c r="A78" s="2875" t="s">
        <v>2924</v>
      </c>
      <c r="B78" s="2878"/>
      <c r="C78" s="2762"/>
      <c r="D78" s="1283">
        <f t="shared" si="20"/>
        <v>0</v>
      </c>
      <c r="E78" s="821"/>
      <c r="F78" s="2494"/>
      <c r="G78" s="1281"/>
      <c r="H78" s="1285" t="str">
        <f t="shared" si="21"/>
        <v>——</v>
      </c>
      <c r="I78" s="818">
        <v>0.04</v>
      </c>
      <c r="J78" s="1282">
        <f t="shared" si="22"/>
        <v>0</v>
      </c>
      <c r="K78" s="1282">
        <f t="shared" si="23"/>
        <v>0</v>
      </c>
      <c r="L78" s="1282">
        <v>0</v>
      </c>
      <c r="M78" s="1282">
        <f t="shared" si="24"/>
        <v>0</v>
      </c>
      <c r="N78" s="1282">
        <f t="shared" si="24"/>
        <v>0</v>
      </c>
      <c r="Z78" s="2713"/>
      <c r="AA78" s="2786"/>
      <c r="AG78" s="1369"/>
      <c r="AK78" s="2786"/>
    </row>
    <row r="79" spans="1:37" ht="15">
      <c r="A79" s="2863" t="s">
        <v>2925</v>
      </c>
      <c r="B79" s="2864">
        <f>1+E81</f>
        <v>1</v>
      </c>
      <c r="C79" s="808"/>
      <c r="D79" s="808"/>
      <c r="E79" s="809"/>
      <c r="F79" s="2866"/>
      <c r="G79" s="6"/>
      <c r="H79" s="6"/>
      <c r="I79" s="6"/>
      <c r="J79" s="7"/>
      <c r="K79" s="7"/>
      <c r="L79" s="7"/>
      <c r="M79" s="7"/>
      <c r="N79" s="7"/>
      <c r="Z79" s="2713"/>
      <c r="AA79" s="2786"/>
      <c r="AG79" s="1369"/>
      <c r="AK79" s="2786"/>
    </row>
    <row r="80" spans="1:37" ht="24.75">
      <c r="A80" s="2867" t="s">
        <v>2899</v>
      </c>
      <c r="B80" s="1806"/>
      <c r="C80" s="1806" t="s">
        <v>2901</v>
      </c>
      <c r="D80" s="1806" t="s">
        <v>2902</v>
      </c>
      <c r="E80" s="813" t="s">
        <v>2903</v>
      </c>
      <c r="F80" s="2868" t="s">
        <v>2919</v>
      </c>
      <c r="G80" s="1806" t="s">
        <v>754</v>
      </c>
      <c r="H80" s="2869" t="s">
        <v>2905</v>
      </c>
      <c r="I80" s="1806" t="s">
        <v>2906</v>
      </c>
      <c r="J80" s="602" t="s">
        <v>2555</v>
      </c>
      <c r="K80" s="602" t="s">
        <v>2556</v>
      </c>
      <c r="L80" s="602" t="s">
        <v>2557</v>
      </c>
      <c r="M80" s="602" t="s">
        <v>2558</v>
      </c>
      <c r="N80" s="602" t="s">
        <v>2559</v>
      </c>
      <c r="Z80" s="2713"/>
      <c r="AA80" s="2786"/>
      <c r="AG80" s="1369"/>
      <c r="AK80" s="2786"/>
    </row>
    <row r="81" spans="1:37" ht="24">
      <c r="A81" s="2867" t="s">
        <v>2926</v>
      </c>
      <c r="B81" s="2871">
        <f>估价对象房地状况!G15</f>
        <v>0</v>
      </c>
      <c r="C81" s="2762"/>
      <c r="D81" s="1283">
        <f t="shared" ref="D81:D88" si="25">SUMIF($J$80:$N$80,C81,J81:N81)</f>
        <v>0</v>
      </c>
      <c r="E81" s="815">
        <f>ROUND(SUM(D81:D88),4)</f>
        <v>0</v>
      </c>
      <c r="F81" s="2494"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3"/>
      <c r="AA81" s="2786"/>
      <c r="AG81" s="1369"/>
      <c r="AK81" s="2786"/>
    </row>
    <row r="82" spans="1:37" ht="14.25">
      <c r="A82" s="2867" t="s">
        <v>2908</v>
      </c>
      <c r="B82" s="2871">
        <f>估价对象房地状况!G16</f>
        <v>0</v>
      </c>
      <c r="C82" s="2762"/>
      <c r="D82" s="1283">
        <f t="shared" si="25"/>
        <v>0</v>
      </c>
      <c r="E82" s="820"/>
      <c r="F82" s="2494"/>
      <c r="G82" s="1281"/>
      <c r="H82" s="1285" t="str">
        <f t="shared" si="26"/>
        <v>——</v>
      </c>
      <c r="I82" s="814">
        <v>0.33</v>
      </c>
      <c r="J82" s="1282">
        <f t="shared" si="27"/>
        <v>0</v>
      </c>
      <c r="K82" s="1282">
        <f t="shared" si="28"/>
        <v>0</v>
      </c>
      <c r="L82" s="1282">
        <v>0</v>
      </c>
      <c r="M82" s="1282">
        <f t="shared" si="29"/>
        <v>0</v>
      </c>
      <c r="N82" s="1282">
        <f t="shared" si="29"/>
        <v>0</v>
      </c>
      <c r="Z82" s="2713"/>
      <c r="AA82" s="2786"/>
      <c r="AG82" s="1369"/>
      <c r="AK82" s="2786"/>
    </row>
    <row r="83" spans="1:37" ht="24">
      <c r="A83" s="2867" t="s">
        <v>2909</v>
      </c>
      <c r="B83" s="2871">
        <f>估价对象房地状况!G17</f>
        <v>0</v>
      </c>
      <c r="C83" s="2762"/>
      <c r="D83" s="1283">
        <f t="shared" si="25"/>
        <v>0</v>
      </c>
      <c r="E83" s="820"/>
      <c r="F83" s="2494"/>
      <c r="G83" s="1281"/>
      <c r="H83" s="1285" t="str">
        <f t="shared" si="26"/>
        <v>——</v>
      </c>
      <c r="I83" s="814">
        <v>0.05</v>
      </c>
      <c r="J83" s="1282">
        <f t="shared" si="27"/>
        <v>0</v>
      </c>
      <c r="K83" s="1282">
        <f t="shared" si="28"/>
        <v>0</v>
      </c>
      <c r="L83" s="1282">
        <v>0</v>
      </c>
      <c r="M83" s="1282">
        <f t="shared" si="29"/>
        <v>0</v>
      </c>
      <c r="N83" s="1282">
        <f t="shared" si="29"/>
        <v>0</v>
      </c>
      <c r="Z83" s="2713"/>
      <c r="AA83" s="2786"/>
      <c r="AG83" s="1369"/>
      <c r="AK83" s="2786"/>
    </row>
    <row r="84" spans="1:37" ht="14.25">
      <c r="A84" s="2867" t="s">
        <v>2923</v>
      </c>
      <c r="B84" s="2871">
        <f>估价对象房地状况!G22</f>
        <v>0</v>
      </c>
      <c r="C84" s="2762"/>
      <c r="D84" s="1283">
        <f t="shared" si="25"/>
        <v>0</v>
      </c>
      <c r="E84" s="820"/>
      <c r="F84" s="2494"/>
      <c r="G84" s="1281"/>
      <c r="H84" s="1285" t="str">
        <f t="shared" si="26"/>
        <v>——</v>
      </c>
      <c r="I84" s="814">
        <v>0.04</v>
      </c>
      <c r="J84" s="1282">
        <f t="shared" si="27"/>
        <v>0</v>
      </c>
      <c r="K84" s="1282">
        <f t="shared" si="28"/>
        <v>0</v>
      </c>
      <c r="L84" s="1282">
        <v>0</v>
      </c>
      <c r="M84" s="1282">
        <f t="shared" si="29"/>
        <v>0</v>
      </c>
      <c r="N84" s="1282">
        <f t="shared" si="29"/>
        <v>0</v>
      </c>
      <c r="Z84" s="2713"/>
      <c r="AA84" s="2786"/>
      <c r="AG84" s="1369"/>
      <c r="AK84" s="2786"/>
    </row>
    <row r="85" spans="1:37" ht="24">
      <c r="A85" s="2867" t="s">
        <v>2915</v>
      </c>
      <c r="B85" s="1722">
        <f>估价对象房地状况!G19</f>
        <v>0</v>
      </c>
      <c r="C85" s="2762"/>
      <c r="D85" s="1283">
        <f t="shared" si="25"/>
        <v>0</v>
      </c>
      <c r="E85" s="820"/>
      <c r="F85" s="2494"/>
      <c r="G85" s="1281"/>
      <c r="H85" s="1285" t="str">
        <f t="shared" si="26"/>
        <v>——</v>
      </c>
      <c r="I85" s="814">
        <v>0.06</v>
      </c>
      <c r="J85" s="1282">
        <f t="shared" si="27"/>
        <v>0</v>
      </c>
      <c r="K85" s="1282">
        <f t="shared" si="28"/>
        <v>0</v>
      </c>
      <c r="L85" s="1282">
        <v>0</v>
      </c>
      <c r="M85" s="1282">
        <f t="shared" si="29"/>
        <v>0</v>
      </c>
      <c r="N85" s="1282">
        <f t="shared" si="29"/>
        <v>0</v>
      </c>
      <c r="Z85" s="2713"/>
      <c r="AA85" s="2786"/>
      <c r="AG85" s="1369"/>
      <c r="AK85" s="2786"/>
    </row>
    <row r="86" spans="1:37" ht="24">
      <c r="A86" s="2867" t="s">
        <v>2916</v>
      </c>
      <c r="B86" s="1722">
        <f>估价对象房地状况!G20</f>
        <v>0</v>
      </c>
      <c r="C86" s="2762"/>
      <c r="D86" s="1283">
        <f t="shared" si="25"/>
        <v>0</v>
      </c>
      <c r="E86" s="820"/>
      <c r="F86" s="2494"/>
      <c r="G86" s="1281"/>
      <c r="H86" s="1285" t="str">
        <f t="shared" si="26"/>
        <v>——</v>
      </c>
      <c r="I86" s="814">
        <v>0.15</v>
      </c>
      <c r="J86" s="1282">
        <f t="shared" si="27"/>
        <v>0</v>
      </c>
      <c r="K86" s="1282">
        <f t="shared" si="28"/>
        <v>0</v>
      </c>
      <c r="L86" s="1282">
        <v>0</v>
      </c>
      <c r="M86" s="1282">
        <f t="shared" si="29"/>
        <v>0</v>
      </c>
      <c r="N86" s="1282">
        <f t="shared" si="29"/>
        <v>0</v>
      </c>
      <c r="Z86" s="2713"/>
      <c r="AA86" s="2786"/>
      <c r="AG86" s="1369"/>
      <c r="AK86" s="2786"/>
    </row>
    <row r="87" spans="1:37" ht="24">
      <c r="A87" s="2867" t="s">
        <v>2913</v>
      </c>
      <c r="B87" s="2873" t="s">
        <v>2927</v>
      </c>
      <c r="C87" s="2762"/>
      <c r="D87" s="1283">
        <f t="shared" si="25"/>
        <v>0</v>
      </c>
      <c r="E87" s="820"/>
      <c r="F87" s="2494"/>
      <c r="G87" s="1281"/>
      <c r="H87" s="1285" t="str">
        <f t="shared" si="26"/>
        <v>——</v>
      </c>
      <c r="I87" s="814">
        <v>0.05</v>
      </c>
      <c r="J87" s="1282">
        <f t="shared" si="27"/>
        <v>0</v>
      </c>
      <c r="K87" s="1282">
        <f t="shared" si="28"/>
        <v>0</v>
      </c>
      <c r="L87" s="1282">
        <v>0</v>
      </c>
      <c r="M87" s="1282">
        <f t="shared" si="29"/>
        <v>0</v>
      </c>
      <c r="N87" s="1282">
        <f t="shared" si="29"/>
        <v>0</v>
      </c>
      <c r="Z87" s="2713"/>
      <c r="AA87" s="2786"/>
      <c r="AG87" s="1369"/>
      <c r="AK87" s="2786"/>
    </row>
    <row r="88" spans="1:37" ht="15" thickBot="1">
      <c r="A88" s="2875" t="s">
        <v>2928</v>
      </c>
      <c r="B88" s="2879">
        <f>估价对象房地状况!G18</f>
        <v>0</v>
      </c>
      <c r="C88" s="2762"/>
      <c r="D88" s="1283">
        <f t="shared" si="25"/>
        <v>0</v>
      </c>
      <c r="E88" s="821"/>
      <c r="F88" s="2494"/>
      <c r="G88" s="1281"/>
      <c r="H88" s="1285" t="str">
        <f t="shared" si="26"/>
        <v>——</v>
      </c>
      <c r="I88" s="818">
        <v>0.06</v>
      </c>
      <c r="J88" s="1282">
        <f t="shared" si="27"/>
        <v>0</v>
      </c>
      <c r="K88" s="1282">
        <f t="shared" si="28"/>
        <v>0</v>
      </c>
      <c r="L88" s="1282">
        <v>0</v>
      </c>
      <c r="M88" s="1282">
        <f t="shared" si="29"/>
        <v>0</v>
      </c>
      <c r="N88" s="1282">
        <f t="shared" si="29"/>
        <v>0</v>
      </c>
      <c r="Z88" s="2713"/>
      <c r="AA88" s="2786"/>
      <c r="AG88" s="1369"/>
      <c r="AK88" s="2786"/>
    </row>
    <row r="90" spans="1:37">
      <c r="A90" s="3177" t="s">
        <v>2929</v>
      </c>
      <c r="B90" s="3177"/>
      <c r="C90" s="3177"/>
      <c r="D90" s="3177"/>
      <c r="E90" s="3177"/>
      <c r="F90" s="3177"/>
      <c r="G90" s="3177"/>
      <c r="H90" s="3177"/>
      <c r="I90" s="3177"/>
      <c r="J90" s="3177"/>
      <c r="K90" s="2880"/>
      <c r="L90" s="2880"/>
      <c r="M90" s="2880"/>
      <c r="N90" s="2880"/>
    </row>
    <row r="91" spans="1:37">
      <c r="A91" s="3179" t="s">
        <v>2930</v>
      </c>
      <c r="B91" s="3179" t="s">
        <v>2931</v>
      </c>
      <c r="C91" s="2835" t="s">
        <v>2932</v>
      </c>
      <c r="D91" s="2836"/>
      <c r="E91" s="2836"/>
      <c r="F91" s="2836"/>
      <c r="G91" s="2836"/>
      <c r="H91" s="2836"/>
      <c r="I91" s="2836"/>
      <c r="J91" s="2881"/>
      <c r="K91" s="2882"/>
      <c r="L91" s="2882"/>
      <c r="M91" s="2882"/>
      <c r="N91" s="2882"/>
    </row>
    <row r="92" spans="1:37">
      <c r="A92" s="3179"/>
      <c r="B92" s="3179"/>
      <c r="C92" s="939" t="s">
        <v>2798</v>
      </c>
      <c r="D92" s="939" t="s">
        <v>2799</v>
      </c>
      <c r="E92" s="939" t="s">
        <v>2800</v>
      </c>
      <c r="F92" s="939" t="s">
        <v>2801</v>
      </c>
      <c r="G92" s="939" t="s">
        <v>2802</v>
      </c>
      <c r="H92" s="939" t="s">
        <v>2803</v>
      </c>
      <c r="I92" s="939" t="s">
        <v>2804</v>
      </c>
      <c r="J92" s="939" t="s">
        <v>2805</v>
      </c>
      <c r="K92" s="939" t="s">
        <v>2806</v>
      </c>
      <c r="L92" s="939" t="s">
        <v>2807</v>
      </c>
      <c r="M92" s="939" t="s">
        <v>2808</v>
      </c>
      <c r="N92" s="939" t="s">
        <v>2809</v>
      </c>
    </row>
    <row r="93" spans="1:37">
      <c r="A93" s="3180" t="s">
        <v>2933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8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8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8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8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8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81"/>
      <c r="B99" s="2883" t="s">
        <v>2814</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182"/>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180" t="s">
        <v>2934</v>
      </c>
      <c r="B101" s="2887" t="s">
        <v>2935</v>
      </c>
      <c r="C101" s="2888">
        <f>$G$3</f>
        <v>3.37</v>
      </c>
      <c r="D101" s="2888">
        <f t="shared" ref="D101:N101" si="31">$G$3</f>
        <v>3.37</v>
      </c>
      <c r="E101" s="2888">
        <f t="shared" si="31"/>
        <v>3.37</v>
      </c>
      <c r="F101" s="2888">
        <f t="shared" si="31"/>
        <v>3.37</v>
      </c>
      <c r="G101" s="2888">
        <f t="shared" si="31"/>
        <v>3.37</v>
      </c>
      <c r="H101" s="2888">
        <f t="shared" si="31"/>
        <v>3.37</v>
      </c>
      <c r="I101" s="2888">
        <f t="shared" si="31"/>
        <v>3.37</v>
      </c>
      <c r="J101" s="2888">
        <f t="shared" si="31"/>
        <v>3.37</v>
      </c>
      <c r="K101" s="2888">
        <f t="shared" si="31"/>
        <v>3.37</v>
      </c>
      <c r="L101" s="2888">
        <f t="shared" si="31"/>
        <v>3.37</v>
      </c>
      <c r="M101" s="2888">
        <f t="shared" si="31"/>
        <v>3.37</v>
      </c>
      <c r="N101" s="2888">
        <f t="shared" si="31"/>
        <v>3.37</v>
      </c>
    </row>
    <row r="102" spans="1:14">
      <c r="A102" s="3181"/>
      <c r="B102" s="2883">
        <v>1</v>
      </c>
      <c r="C102" s="2884">
        <f>1.9362/C101</f>
        <v>0.574540059347181</v>
      </c>
      <c r="D102" s="2884">
        <f>1.9362/D101</f>
        <v>0.574540059347181</v>
      </c>
      <c r="E102" s="2884">
        <f>1.8629/E101</f>
        <v>0.55278931750741833</v>
      </c>
      <c r="F102" s="2884">
        <f>1.8629/F101</f>
        <v>0.55278931750741833</v>
      </c>
      <c r="G102" s="2884">
        <f>1.8629/G101</f>
        <v>0.55278931750741833</v>
      </c>
      <c r="H102" s="2884">
        <f>1.8629/H101</f>
        <v>0.55278931750741833</v>
      </c>
      <c r="I102" s="2884">
        <f>1.8629/I101</f>
        <v>0.55278931750741833</v>
      </c>
      <c r="J102" s="2884">
        <f>1.942/J101</f>
        <v>0.5762611275964391</v>
      </c>
      <c r="K102" s="2884">
        <f>1.942/K101</f>
        <v>0.5762611275964391</v>
      </c>
      <c r="L102" s="2884">
        <f>1.942/L101</f>
        <v>0.5762611275964391</v>
      </c>
      <c r="M102" s="2884">
        <f>1.942/M101</f>
        <v>0.5762611275964391</v>
      </c>
      <c r="N102" s="2884">
        <f>1.942/N101</f>
        <v>0.5762611275964391</v>
      </c>
    </row>
    <row r="103" spans="1:14">
      <c r="A103" s="3181"/>
      <c r="B103" s="2883">
        <v>2</v>
      </c>
      <c r="C103" s="2884">
        <f>1.4198/C101</f>
        <v>0.42130563798219584</v>
      </c>
      <c r="D103" s="2884">
        <f>1.4198/D101</f>
        <v>0.42130563798219584</v>
      </c>
      <c r="E103" s="2884">
        <f>1.3372/E101</f>
        <v>0.39679525222551926</v>
      </c>
      <c r="F103" s="2884">
        <f>1.3372/F101</f>
        <v>0.39679525222551926</v>
      </c>
      <c r="G103" s="2884">
        <f>1.3372/G101</f>
        <v>0.39679525222551926</v>
      </c>
      <c r="H103" s="2884">
        <f>1.3372/H101</f>
        <v>0.39679525222551926</v>
      </c>
      <c r="I103" s="2884">
        <f>1.3372/I101</f>
        <v>0.39679525222551926</v>
      </c>
      <c r="J103" s="2884">
        <f>1.2799/J101</f>
        <v>0.37979228486646882</v>
      </c>
      <c r="K103" s="2884">
        <f>1.2799/K101</f>
        <v>0.37979228486646882</v>
      </c>
      <c r="L103" s="2884">
        <f>1.2799/L101</f>
        <v>0.37979228486646882</v>
      </c>
      <c r="M103" s="2884">
        <f>1.2799/M101</f>
        <v>0.37979228486646882</v>
      </c>
      <c r="N103" s="2884">
        <f>1.2799/N101</f>
        <v>0.37979228486646882</v>
      </c>
    </row>
    <row r="104" spans="1:14">
      <c r="A104" s="3181"/>
      <c r="B104" s="2883">
        <v>3</v>
      </c>
      <c r="C104" s="2884">
        <f>1.1594/C101</f>
        <v>0.3440356083086053</v>
      </c>
      <c r="D104" s="2884">
        <f>1.1594/D101</f>
        <v>0.3440356083086053</v>
      </c>
      <c r="E104" s="2884">
        <f>1.0788/E101</f>
        <v>0.32011869436201779</v>
      </c>
      <c r="F104" s="2884">
        <f>1.0788/F101</f>
        <v>0.32011869436201779</v>
      </c>
      <c r="G104" s="2884">
        <f>1.0788/G101</f>
        <v>0.32011869436201779</v>
      </c>
      <c r="H104" s="2884">
        <f>1.0788/H101</f>
        <v>0.32011869436201779</v>
      </c>
      <c r="I104" s="2884">
        <f>1.0788/I101</f>
        <v>0.32011869436201779</v>
      </c>
      <c r="J104" s="2884">
        <f>1.0072/J101</f>
        <v>0.29887240356083089</v>
      </c>
      <c r="K104" s="2884">
        <f>1.0072/K101</f>
        <v>0.29887240356083089</v>
      </c>
      <c r="L104" s="2884">
        <f>1.0072/L101</f>
        <v>0.29887240356083089</v>
      </c>
      <c r="M104" s="2884">
        <f>1.0072/M101</f>
        <v>0.29887240356083089</v>
      </c>
      <c r="N104" s="2884">
        <f>1.0072/N101</f>
        <v>0.29887240356083089</v>
      </c>
    </row>
    <row r="105" spans="1:14">
      <c r="A105" s="3181"/>
      <c r="B105" s="2883">
        <v>4</v>
      </c>
      <c r="C105" s="2884">
        <f>0.9622/C101</f>
        <v>0.28551928783382791</v>
      </c>
      <c r="D105" s="2884">
        <f>0.9622/D101</f>
        <v>0.28551928783382791</v>
      </c>
      <c r="E105" s="2884">
        <f>0.8656/E101</f>
        <v>0.25685459940652822</v>
      </c>
      <c r="F105" s="2884">
        <f>0.8656/F101</f>
        <v>0.25685459940652822</v>
      </c>
      <c r="G105" s="2884">
        <f>0.8656/G101</f>
        <v>0.25685459940652822</v>
      </c>
      <c r="H105" s="2884">
        <f>0.8656/H101</f>
        <v>0.25685459940652822</v>
      </c>
      <c r="I105" s="2884">
        <f>0.8656/I101</f>
        <v>0.25685459940652822</v>
      </c>
      <c r="J105" s="2884">
        <f>0.7525/J101</f>
        <v>0.22329376854599403</v>
      </c>
      <c r="K105" s="2884">
        <f>0.7525/K101</f>
        <v>0.22329376854599403</v>
      </c>
      <c r="L105" s="2884">
        <f>0.7525/L101</f>
        <v>0.22329376854599403</v>
      </c>
      <c r="M105" s="2884">
        <f>0.7525/M101</f>
        <v>0.22329376854599403</v>
      </c>
      <c r="N105" s="2884">
        <f>0.7525/N101</f>
        <v>0.22329376854599403</v>
      </c>
    </row>
    <row r="106" spans="1:14">
      <c r="A106" s="3181"/>
      <c r="B106" s="2883">
        <v>5</v>
      </c>
      <c r="C106" s="2884">
        <f>0.8417/C101</f>
        <v>0.24976261127596439</v>
      </c>
      <c r="D106" s="2884">
        <f>0.8417/D101</f>
        <v>0.24976261127596439</v>
      </c>
      <c r="E106" s="2884">
        <f>0.7371/E101</f>
        <v>0.21872403560830858</v>
      </c>
      <c r="F106" s="2884">
        <f>0.7371/F101</f>
        <v>0.21872403560830858</v>
      </c>
      <c r="G106" s="2884">
        <f>0.7371/G101</f>
        <v>0.21872403560830858</v>
      </c>
      <c r="H106" s="2884">
        <f>0.7371/H101</f>
        <v>0.21872403560830858</v>
      </c>
      <c r="I106" s="2884">
        <f>0.7371/I101</f>
        <v>0.21872403560830858</v>
      </c>
      <c r="J106" s="2884">
        <f>0.5659/J101</f>
        <v>0.1679228486646884</v>
      </c>
      <c r="K106" s="2884">
        <f>0.5659/K101</f>
        <v>0.1679228486646884</v>
      </c>
      <c r="L106" s="2884">
        <f>0.5659/L101</f>
        <v>0.1679228486646884</v>
      </c>
      <c r="M106" s="2884">
        <f>0.5659/M101</f>
        <v>0.1679228486646884</v>
      </c>
      <c r="N106" s="2884">
        <f>0.5659/N101</f>
        <v>0.1679228486646884</v>
      </c>
    </row>
    <row r="107" spans="1:14">
      <c r="A107" s="3181"/>
      <c r="B107" s="2883">
        <v>6</v>
      </c>
      <c r="C107" s="2884">
        <f>0.7608/C101</f>
        <v>0.22575667655786349</v>
      </c>
      <c r="D107" s="2884">
        <f>0.7608/D101</f>
        <v>0.22575667655786349</v>
      </c>
      <c r="E107" s="2884">
        <f>0.6482/E101</f>
        <v>0.19234421364985163</v>
      </c>
      <c r="F107" s="2884">
        <f>0.6482/F101</f>
        <v>0.19234421364985163</v>
      </c>
      <c r="G107" s="2884">
        <f>0.6482/G101</f>
        <v>0.19234421364985163</v>
      </c>
      <c r="H107" s="2884">
        <f>0.6482/H101</f>
        <v>0.19234421364985163</v>
      </c>
      <c r="I107" s="2884">
        <f>0.6482/I101</f>
        <v>0.19234421364985163</v>
      </c>
      <c r="J107" s="2884">
        <f>0.4525/J101</f>
        <v>0.13427299703264095</v>
      </c>
      <c r="K107" s="2884">
        <f>0.4525/K101</f>
        <v>0.13427299703264095</v>
      </c>
      <c r="L107" s="2884">
        <f>0.4525/L101</f>
        <v>0.13427299703264095</v>
      </c>
      <c r="M107" s="2884">
        <f>0.4525/M101</f>
        <v>0.13427299703264095</v>
      </c>
      <c r="N107" s="2884">
        <f>0.4525/N101</f>
        <v>0.13427299703264095</v>
      </c>
    </row>
    <row r="108" spans="1:14">
      <c r="A108" s="3181"/>
      <c r="B108" s="3109" t="s">
        <v>2936</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182"/>
      <c r="B109" s="3110"/>
      <c r="C109" s="2886">
        <f>(-0.163*(C108^2)-0.59*C108+7617)*(10^(-4))/C101</f>
        <v>0.22600139465875371</v>
      </c>
      <c r="D109" s="2886">
        <f>(-0.163*(D108^2)-0.59*D108+7617)*(10^(-4))/D101</f>
        <v>0.22600139465875371</v>
      </c>
      <c r="E109" s="2886">
        <f>(-0.161*(E108^2)-7.509*E108+6533)*(10^(-4))/E101</f>
        <v>0.1936299703264095</v>
      </c>
      <c r="F109" s="2886">
        <f>(-0.161*(F108^2)-7.509*F108+6533)*(10^(-4))/F101</f>
        <v>0.1936299703264095</v>
      </c>
      <c r="G109" s="2886">
        <f>(-0.161*(G108^2)-7.509*G108+6533)*(10^(-4))/G101</f>
        <v>0.1936299703264095</v>
      </c>
      <c r="H109" s="2886">
        <f>(-0.161*(H108^2)-7.509*H108+6533)*(10^(-4))/H101</f>
        <v>0.1936299703264095</v>
      </c>
      <c r="I109" s="2886">
        <f>(-0.161*(I108^2)-7.509*I108+6533)*(10^(-4))/I101</f>
        <v>0.1936299703264095</v>
      </c>
      <c r="J109" s="2886">
        <f>(-0.214*(J108^2)-21.991*J108+4665)*(10^(-4))/J101</f>
        <v>0.13776839762611276</v>
      </c>
      <c r="K109" s="2886">
        <f>(-0.214*(K108^2)-21.991*K108+4665)*(10^(-4))/K101</f>
        <v>0.13776839762611276</v>
      </c>
      <c r="L109" s="2886">
        <f>(-0.214*(L108^2)-21.991*L108+4665)*(10^(-4))/L101</f>
        <v>0.13776839762611276</v>
      </c>
      <c r="M109" s="2886">
        <f>(-0.214*(M108^2)-21.991*M108+4665)*(10^(-4))/M101</f>
        <v>0.13776839762611276</v>
      </c>
      <c r="N109" s="2886">
        <f>(-0.214*(N108^2)-21.991*N108+4665)*(10^(-4))/N101</f>
        <v>0.13776839762611276</v>
      </c>
    </row>
    <row r="110" spans="1:14">
      <c r="A110" s="3178" t="s">
        <v>2937</v>
      </c>
      <c r="B110" s="3178"/>
      <c r="C110" s="3178"/>
      <c r="D110" s="3178"/>
      <c r="E110" s="3178"/>
      <c r="F110" s="3178"/>
      <c r="G110" s="3178"/>
      <c r="H110" s="3178"/>
      <c r="I110" s="3178"/>
      <c r="J110" s="3178"/>
      <c r="K110" s="2889"/>
      <c r="L110" s="2889"/>
      <c r="M110" s="2889"/>
      <c r="N110" s="2889"/>
    </row>
    <row r="112" spans="1:14" ht="13.5" thickBot="1"/>
    <row r="113" spans="1:13" ht="25.5" thickBot="1">
      <c r="A113" s="897" t="s">
        <v>2938</v>
      </c>
      <c r="B113" s="1284">
        <f>G3</f>
        <v>3.37</v>
      </c>
      <c r="C113" s="898" t="s">
        <v>2939</v>
      </c>
      <c r="D113" s="899">
        <f>SUMPRODUCT((A115:A118=F113)*(B114:M114=H113)*B115:M118)</f>
        <v>0.7964</v>
      </c>
      <c r="E113" s="2717" t="s">
        <v>2772</v>
      </c>
      <c r="F113" s="2891" t="str">
        <f>E2</f>
        <v>商业</v>
      </c>
      <c r="G113" s="2717" t="s">
        <v>2773</v>
      </c>
      <c r="H113" s="2891" t="str">
        <f>G2</f>
        <v>五级</v>
      </c>
      <c r="I113" s="2717"/>
      <c r="J113" s="2892"/>
      <c r="K113" s="2892"/>
      <c r="L113" s="2892"/>
      <c r="M113" s="2892"/>
    </row>
    <row r="114" spans="1:13">
      <c r="A114" s="902"/>
      <c r="B114" s="2893" t="s">
        <v>2940</v>
      </c>
      <c r="C114" s="2893" t="s">
        <v>2941</v>
      </c>
      <c r="D114" s="2893" t="s">
        <v>2942</v>
      </c>
      <c r="E114" s="2894" t="s">
        <v>2943</v>
      </c>
      <c r="F114" s="2894" t="s">
        <v>2944</v>
      </c>
      <c r="G114" s="2894" t="s">
        <v>2945</v>
      </c>
      <c r="H114" s="2895" t="s">
        <v>2946</v>
      </c>
      <c r="I114" s="2895" t="s">
        <v>2947</v>
      </c>
      <c r="J114" s="2896" t="s">
        <v>2948</v>
      </c>
      <c r="K114" s="2896" t="s">
        <v>2949</v>
      </c>
      <c r="L114" s="2896" t="s">
        <v>2950</v>
      </c>
      <c r="M114" s="2897" t="s">
        <v>2951</v>
      </c>
    </row>
    <row r="115" spans="1:13">
      <c r="A115" s="903" t="s">
        <v>2836</v>
      </c>
      <c r="B115" s="904">
        <f>ROUND(0.9335-0.0094*B113,4)</f>
        <v>0.90180000000000005</v>
      </c>
      <c r="C115" s="904">
        <f>B115</f>
        <v>0.90180000000000005</v>
      </c>
      <c r="D115" s="904">
        <f>ROUND(0.8331-0.0109*B113,4)</f>
        <v>0.7964</v>
      </c>
      <c r="E115" s="904">
        <f>D115</f>
        <v>0.7964</v>
      </c>
      <c r="F115" s="904">
        <f>E115</f>
        <v>0.7964</v>
      </c>
      <c r="G115" s="904">
        <f>F115</f>
        <v>0.7964</v>
      </c>
      <c r="H115" s="904">
        <f>G115</f>
        <v>0.7964</v>
      </c>
      <c r="I115" s="904">
        <f>ROUND(0.689-0.0155*B113,4)</f>
        <v>0.63680000000000003</v>
      </c>
      <c r="J115" s="904">
        <f t="shared" ref="J115:M118" si="33">I115</f>
        <v>0.63680000000000003</v>
      </c>
      <c r="K115" s="904">
        <f t="shared" si="33"/>
        <v>0.63680000000000003</v>
      </c>
      <c r="L115" s="904">
        <f t="shared" si="33"/>
        <v>0.63680000000000003</v>
      </c>
      <c r="M115" s="905">
        <f t="shared" si="33"/>
        <v>0.63680000000000003</v>
      </c>
    </row>
    <row r="116" spans="1:13">
      <c r="A116" s="903" t="s">
        <v>2837</v>
      </c>
      <c r="B116" s="904">
        <f>ROUND(0.949-0.012*B113,4)</f>
        <v>0.90859999999999996</v>
      </c>
      <c r="C116" s="904">
        <f>B116</f>
        <v>0.90859999999999996</v>
      </c>
      <c r="D116" s="904">
        <f>ROUND(0.8567-0.013*B113,4)</f>
        <v>0.81289999999999996</v>
      </c>
      <c r="E116" s="904">
        <f t="shared" ref="E116:H117" si="34">D116</f>
        <v>0.81289999999999996</v>
      </c>
      <c r="F116" s="904">
        <f t="shared" si="34"/>
        <v>0.81289999999999996</v>
      </c>
      <c r="G116" s="904">
        <f t="shared" si="34"/>
        <v>0.81289999999999996</v>
      </c>
      <c r="H116" s="904">
        <f t="shared" si="34"/>
        <v>0.81289999999999996</v>
      </c>
      <c r="I116" s="904">
        <f>ROUND(0.7694-0.014*B113,4)</f>
        <v>0.72219999999999995</v>
      </c>
      <c r="J116" s="904">
        <f t="shared" si="33"/>
        <v>0.72219999999999995</v>
      </c>
      <c r="K116" s="904">
        <f t="shared" si="33"/>
        <v>0.72219999999999995</v>
      </c>
      <c r="L116" s="904">
        <f t="shared" si="33"/>
        <v>0.72219999999999995</v>
      </c>
      <c r="M116" s="905">
        <f t="shared" si="33"/>
        <v>0.72219999999999995</v>
      </c>
    </row>
    <row r="117" spans="1:13">
      <c r="A117" s="903" t="s">
        <v>2838</v>
      </c>
      <c r="B117" s="904">
        <f>ROUND(0.8808-0.006*B113,4)</f>
        <v>0.86060000000000003</v>
      </c>
      <c r="C117" s="904">
        <f>B117</f>
        <v>0.86060000000000003</v>
      </c>
      <c r="D117" s="904">
        <f>ROUND(0.8748-0.008*B113,4)</f>
        <v>0.8478</v>
      </c>
      <c r="E117" s="904">
        <f t="shared" si="34"/>
        <v>0.8478</v>
      </c>
      <c r="F117" s="904">
        <f t="shared" si="34"/>
        <v>0.8478</v>
      </c>
      <c r="G117" s="904">
        <f t="shared" si="34"/>
        <v>0.8478</v>
      </c>
      <c r="H117" s="904">
        <f t="shared" si="34"/>
        <v>0.8478</v>
      </c>
      <c r="I117" s="904">
        <f>ROUND(0.7412-0.0095*B113,4)</f>
        <v>0.70920000000000005</v>
      </c>
      <c r="J117" s="904">
        <f t="shared" si="33"/>
        <v>0.70920000000000005</v>
      </c>
      <c r="K117" s="904">
        <f t="shared" si="33"/>
        <v>0.70920000000000005</v>
      </c>
      <c r="L117" s="904">
        <f t="shared" si="33"/>
        <v>0.70920000000000005</v>
      </c>
      <c r="M117" s="905">
        <f t="shared" si="33"/>
        <v>0.70920000000000005</v>
      </c>
    </row>
    <row r="118" spans="1:13" ht="13.5" thickBot="1">
      <c r="A118" s="713" t="s">
        <v>2839</v>
      </c>
      <c r="B118" s="906">
        <f>ROUND(0.7275-0.01*B113,4)</f>
        <v>0.69379999999999997</v>
      </c>
      <c r="C118" s="906">
        <f>B118</f>
        <v>0.69379999999999997</v>
      </c>
      <c r="D118" s="906">
        <f>ROUND(0.7043-0.012*B113,4)</f>
        <v>0.66390000000000005</v>
      </c>
      <c r="E118" s="906">
        <f>D118</f>
        <v>0.66390000000000005</v>
      </c>
      <c r="F118" s="906">
        <f>E118</f>
        <v>0.66390000000000005</v>
      </c>
      <c r="G118" s="906">
        <f>ROUND(0.6299-0.0122*B113,4)</f>
        <v>0.58879999999999999</v>
      </c>
      <c r="H118" s="906">
        <f>G118</f>
        <v>0.58879999999999999</v>
      </c>
      <c r="I118" s="906">
        <f>ROUND(0.5667-0.0136*B113,4)</f>
        <v>0.52090000000000003</v>
      </c>
      <c r="J118" s="906">
        <f t="shared" si="33"/>
        <v>0.52090000000000003</v>
      </c>
      <c r="K118" s="906">
        <f t="shared" si="33"/>
        <v>0.52090000000000003</v>
      </c>
      <c r="L118" s="906">
        <f t="shared" si="33"/>
        <v>0.52090000000000003</v>
      </c>
      <c r="M118" s="907">
        <f t="shared" si="33"/>
        <v>0.52090000000000003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9" t="str">
        <f>项目基本情况!B1</f>
        <v>北京市石景山区石景山路乙18号院4号楼房地产抵押价值预评估</v>
      </c>
      <c r="C37" s="2989"/>
      <c r="D37" s="2989"/>
      <c r="E37" s="2989"/>
      <c r="F37" s="2989"/>
      <c r="G37" s="2989"/>
      <c r="H37" s="2989"/>
      <c r="I37" s="2989"/>
    </row>
    <row r="38" spans="1:9">
      <c r="A38" s="1013"/>
      <c r="B38" s="1013"/>
    </row>
    <row r="39" spans="1:9">
      <c r="A39" s="1011" t="s">
        <v>818</v>
      </c>
      <c r="B39" s="1011" t="s">
        <v>820</v>
      </c>
    </row>
    <row r="40" spans="1:9">
      <c r="A40" s="1011"/>
      <c r="B40" s="1939" t="str">
        <f>项目基本情况!B5</f>
        <v>北京银河万达置业有限公司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2284</v>
      </c>
      <c r="B1" s="1934"/>
      <c r="C1" s="2546" t="s">
        <v>2386</v>
      </c>
      <c r="D1" s="241"/>
      <c r="E1" s="241"/>
      <c r="F1" s="241"/>
      <c r="G1" s="1376">
        <f>MATCH(B1,'数据-取费表'!A6:A16,0)+5</f>
        <v>9</v>
      </c>
      <c r="H1" s="1279" t="str">
        <f>IF(ISERROR(FIND("住宅",B1)),"非住宅","住宅")</f>
        <v>非住宅</v>
      </c>
    </row>
    <row r="2" spans="1:8" s="243" customFormat="1" ht="18" customHeight="1">
      <c r="A2" s="244" t="s">
        <v>2285</v>
      </c>
      <c r="B2" s="245">
        <f ca="1">ROUND(IF(D2="——",C52/10000,C52/10000-E2),0)</f>
        <v>74448</v>
      </c>
      <c r="C2" s="242" t="s">
        <v>2286</v>
      </c>
      <c r="D2" s="2540" t="s">
        <v>70</v>
      </c>
      <c r="E2" s="1437" t="e">
        <f ca="1">SUMIF(INDIRECT("'"&amp;G2&amp;"'"&amp;"!A:A"),"承租人权益价值",INDIRECT("'"&amp;G2&amp;"'"&amp;"!c:c"))</f>
        <v>#REF!</v>
      </c>
      <c r="F2" s="2541" t="s">
        <v>2286</v>
      </c>
      <c r="G2" s="2542"/>
    </row>
    <row r="3" spans="1:8" s="243" customFormat="1" ht="18" customHeight="1" thickBot="1">
      <c r="A3" s="246" t="s">
        <v>2287</v>
      </c>
      <c r="B3" s="247">
        <f ca="1">ROUND(B2*10000/(IF(B1="",'数据-汇总表'!E3,INDIRECT("'数据-取费表'!k"&amp;$G$1))),0)</f>
        <v>6179</v>
      </c>
      <c r="C3" s="242" t="s">
        <v>2288</v>
      </c>
      <c r="D3" s="242"/>
      <c r="E3" s="242"/>
      <c r="F3" s="242"/>
      <c r="G3" s="242"/>
    </row>
    <row r="4" spans="1:8" s="251" customFormat="1" ht="15.75">
      <c r="A4" s="248" t="s">
        <v>2289</v>
      </c>
      <c r="B4" s="249"/>
      <c r="C4" s="249"/>
      <c r="D4" s="249"/>
      <c r="E4" s="249"/>
      <c r="F4" s="249"/>
      <c r="G4" s="250"/>
    </row>
    <row r="5" spans="1:8" s="257" customFormat="1" ht="13.5" customHeight="1">
      <c r="A5" s="298" t="s">
        <v>2290</v>
      </c>
      <c r="B5" s="253" t="s">
        <v>2291</v>
      </c>
      <c r="C5" s="254">
        <f ca="1">C6+C7+C8</f>
        <v>24097544</v>
      </c>
      <c r="D5" s="254" t="s">
        <v>2292</v>
      </c>
      <c r="E5" s="255" t="s">
        <v>2293</v>
      </c>
      <c r="F5" s="255" t="s">
        <v>2294</v>
      </c>
      <c r="G5" s="256"/>
    </row>
    <row r="6" spans="1:8" s="257" customFormat="1" ht="13.5" customHeight="1">
      <c r="A6" s="946" t="s">
        <v>2295</v>
      </c>
      <c r="B6" s="258" t="s">
        <v>2296</v>
      </c>
      <c r="C6" s="259"/>
      <c r="D6" s="260"/>
      <c r="E6" s="261"/>
      <c r="F6" s="261"/>
      <c r="G6" s="262"/>
    </row>
    <row r="7" spans="1:8" s="257" customFormat="1" ht="13.5" customHeight="1">
      <c r="A7" s="946" t="s">
        <v>2297</v>
      </c>
      <c r="B7" s="258" t="s">
        <v>2298</v>
      </c>
      <c r="C7" s="263">
        <f>ROUND(C6*F7,0)</f>
        <v>0</v>
      </c>
      <c r="D7" s="263"/>
      <c r="E7" s="261"/>
      <c r="F7" s="264">
        <f>'数据-取费表'!B48+'数据-取费表'!B49</f>
        <v>3.0499999999999999E-2</v>
      </c>
      <c r="G7" s="262"/>
    </row>
    <row r="8" spans="1:8" s="266" customFormat="1">
      <c r="A8" s="946" t="s">
        <v>2299</v>
      </c>
      <c r="B8" s="258" t="s">
        <v>2300</v>
      </c>
      <c r="C8" s="263">
        <f ca="1">IF(G8="已包含在土地购买价格中",0,C9+C10)</f>
        <v>24097544</v>
      </c>
      <c r="D8" s="265"/>
      <c r="E8" s="263"/>
      <c r="F8" s="264"/>
      <c r="G8" s="2543"/>
    </row>
    <row r="9" spans="1:8" s="257" customFormat="1" ht="13.5" customHeight="1">
      <c r="A9" s="947" t="s">
        <v>800</v>
      </c>
      <c r="B9" s="267" t="s">
        <v>2301</v>
      </c>
      <c r="C9" s="268">
        <f ca="1">ROUND(D9*E9,0)</f>
        <v>0</v>
      </c>
      <c r="D9" s="1029">
        <f ca="1">IF(B1="",'数据-汇总表'!E5,IF(INDIRECT("'数据-取费表'!c"&amp;$G$1)="住宅",INDIRECT("'数据-取费表'!k"&amp;$G$1),0))</f>
        <v>0</v>
      </c>
      <c r="E9" s="268">
        <f>'数据-取费表'!B27</f>
        <v>160</v>
      </c>
      <c r="F9" s="264"/>
      <c r="G9" s="269"/>
    </row>
    <row r="10" spans="1:8" s="257" customFormat="1" ht="13.5" customHeight="1">
      <c r="A10" s="947" t="s">
        <v>801</v>
      </c>
      <c r="B10" s="267" t="s">
        <v>2303</v>
      </c>
      <c r="C10" s="268">
        <f ca="1">ROUND(D10*E10,0)</f>
        <v>24097544</v>
      </c>
      <c r="D10" s="1029">
        <f ca="1">IF(B1="",'数据-汇总表'!E6,IF(INDIRECT("'数据-取费表'!c"&amp;$G$1)="住宅",INDIRECT("'数据-取费表'!s"&amp;$G$1),INDIRECT("'数据-取费表'!k"&amp;$G$1)+INDIRECT("'数据-取费表'!s"&amp;$G$1)))</f>
        <v>120487.72</v>
      </c>
      <c r="E10" s="268">
        <f>'数据-取费表'!B28</f>
        <v>200</v>
      </c>
      <c r="F10" s="264"/>
      <c r="G10" s="269"/>
    </row>
    <row r="11" spans="1:8" s="257" customFormat="1" ht="13.5" hidden="1" customHeight="1">
      <c r="A11" s="270" t="s">
        <v>7</v>
      </c>
      <c r="B11" s="258" t="s">
        <v>2304</v>
      </c>
      <c r="C11" s="254"/>
      <c r="D11" s="1031"/>
      <c r="E11" s="261"/>
      <c r="F11" s="261"/>
      <c r="G11" s="262"/>
    </row>
    <row r="12" spans="1:8" s="257" customFormat="1" ht="13.5" hidden="1" customHeight="1">
      <c r="A12" s="270" t="s">
        <v>8</v>
      </c>
      <c r="B12" s="258" t="s">
        <v>2387</v>
      </c>
      <c r="C12" s="254">
        <v>0</v>
      </c>
      <c r="D12" s="1031"/>
      <c r="E12" s="271"/>
      <c r="F12" s="264">
        <v>3.0499999999999999E-2</v>
      </c>
      <c r="G12" s="262"/>
    </row>
    <row r="13" spans="1:8" s="257" customFormat="1" ht="13.5" hidden="1" customHeight="1">
      <c r="A13" s="270" t="s">
        <v>9</v>
      </c>
      <c r="B13" s="258" t="s">
        <v>2388</v>
      </c>
      <c r="C13" s="254"/>
      <c r="D13" s="1031"/>
      <c r="E13" s="261"/>
      <c r="F13" s="261"/>
      <c r="G13" s="262"/>
    </row>
    <row r="14" spans="1:8" s="257" customFormat="1" ht="13.5" hidden="1" customHeight="1">
      <c r="A14" s="270" t="s">
        <v>10</v>
      </c>
      <c r="B14" s="258" t="s">
        <v>2300</v>
      </c>
      <c r="C14" s="254"/>
      <c r="D14" s="1031"/>
      <c r="E14" s="261"/>
      <c r="F14" s="261"/>
      <c r="G14" s="262" t="s">
        <v>2389</v>
      </c>
    </row>
    <row r="15" spans="1:8" s="257" customFormat="1" ht="13.5" hidden="1" customHeight="1">
      <c r="A15" s="270" t="s">
        <v>11</v>
      </c>
      <c r="B15" s="258" t="s">
        <v>2390</v>
      </c>
      <c r="C15" s="263"/>
      <c r="D15" s="1031"/>
      <c r="E15" s="261"/>
      <c r="F15" s="261"/>
      <c r="G15" s="262" t="s">
        <v>2391</v>
      </c>
    </row>
    <row r="16" spans="1:8" s="257" customFormat="1" ht="13.5" hidden="1" customHeight="1">
      <c r="A16" s="270" t="s">
        <v>12</v>
      </c>
      <c r="B16" s="258" t="s">
        <v>2300</v>
      </c>
      <c r="C16" s="263"/>
      <c r="D16" s="1031"/>
      <c r="E16" s="261"/>
      <c r="F16" s="261"/>
      <c r="G16" s="262"/>
    </row>
    <row r="17" spans="1:7" s="257" customFormat="1" ht="13.5" hidden="1" customHeight="1">
      <c r="A17" s="270" t="s">
        <v>13</v>
      </c>
      <c r="B17" s="258" t="s">
        <v>2392</v>
      </c>
      <c r="C17" s="272"/>
      <c r="D17" s="1032"/>
      <c r="E17" s="272"/>
      <c r="F17" s="272"/>
      <c r="G17" s="262" t="s">
        <v>2391</v>
      </c>
    </row>
    <row r="18" spans="1:7" s="257" customFormat="1" ht="13.5" hidden="1" customHeight="1">
      <c r="A18" s="270" t="s">
        <v>14</v>
      </c>
      <c r="B18" s="258" t="s">
        <v>2393</v>
      </c>
      <c r="C18" s="263">
        <v>0</v>
      </c>
      <c r="D18" s="1031"/>
      <c r="E18" s="261"/>
      <c r="F18" s="264">
        <v>3.0499999999999999E-2</v>
      </c>
      <c r="G18" s="262" t="s">
        <v>2394</v>
      </c>
    </row>
    <row r="19" spans="1:7" s="266" customFormat="1" ht="13.5" customHeight="1">
      <c r="A19" s="298" t="s">
        <v>2395</v>
      </c>
      <c r="B19" s="253" t="s">
        <v>2396</v>
      </c>
      <c r="C19" s="254">
        <f ca="1">IF(G19="已包含在土地取得成本中","0",ROUND(D19*E19,0))</f>
        <v>24097544</v>
      </c>
      <c r="D19" s="1033">
        <f ca="1">D9+D10</f>
        <v>120487.72</v>
      </c>
      <c r="E19" s="254">
        <f>'数据-取费表'!B31</f>
        <v>200</v>
      </c>
      <c r="F19" s="274"/>
      <c r="G19" s="2543"/>
    </row>
    <row r="20" spans="1:7" s="257" customFormat="1" ht="13.5" customHeight="1">
      <c r="A20" s="298" t="s">
        <v>2397</v>
      </c>
      <c r="B20" s="253" t="s">
        <v>2398</v>
      </c>
      <c r="C20" s="275">
        <f ca="1">ROUND((C5+C19)*F20,0)</f>
        <v>1445853</v>
      </c>
      <c r="D20" s="275"/>
      <c r="E20" s="275"/>
      <c r="F20" s="276">
        <f>'数据-取费表'!B37</f>
        <v>0.03</v>
      </c>
      <c r="G20" s="277" t="s">
        <v>2399</v>
      </c>
    </row>
    <row r="21" spans="1:7" s="257" customFormat="1" ht="13.5" customHeight="1">
      <c r="A21" s="298" t="s">
        <v>2400</v>
      </c>
      <c r="B21" s="253" t="s">
        <v>2401</v>
      </c>
      <c r="C21" s="278">
        <f>F21</f>
        <v>0.03</v>
      </c>
      <c r="D21" s="279" t="s">
        <v>2402</v>
      </c>
      <c r="E21" s="275"/>
      <c r="F21" s="276">
        <f>'数据-取费表'!B38</f>
        <v>0.03</v>
      </c>
      <c r="G21" s="277" t="s">
        <v>2403</v>
      </c>
    </row>
    <row r="22" spans="1:7" s="257" customFormat="1" ht="13.5" customHeight="1">
      <c r="A22" s="298" t="s">
        <v>2404</v>
      </c>
      <c r="B22" s="253" t="s">
        <v>2405</v>
      </c>
      <c r="C22" s="1377">
        <f ca="1">ROUND(SUM(C23:C25),0)</f>
        <v>4755952</v>
      </c>
      <c r="D22" s="278">
        <f ca="1">C26</f>
        <v>1.4E-3</v>
      </c>
      <c r="E22" s="279" t="s">
        <v>2402</v>
      </c>
      <c r="F22" s="280">
        <f ca="1">'数据-取费表'!B40</f>
        <v>4.7500000000000001E-2</v>
      </c>
      <c r="G22" s="277" t="str">
        <f>IF('数据-取费表'!B22&lt;=1,"单利计息","复利计息")</f>
        <v>复利计息</v>
      </c>
    </row>
    <row r="23" spans="1:7" s="257" customFormat="1" ht="13.5" customHeight="1">
      <c r="A23" s="948" t="s">
        <v>2295</v>
      </c>
      <c r="B23" s="258" t="s">
        <v>2406</v>
      </c>
      <c r="C23" s="1378">
        <f ca="1">ROUND(IF('数据-取费表'!B22&lt;=1,C5*F22*'数据-取费表'!B22,C5*(POWER((1+F22),'数据-取费表'!B22)-1)),0)</f>
        <v>2343637</v>
      </c>
      <c r="D23" s="281"/>
      <c r="E23" s="281"/>
      <c r="F23" s="282"/>
      <c r="G23" s="283" t="s">
        <v>2407</v>
      </c>
    </row>
    <row r="24" spans="1:7" s="257" customFormat="1" ht="13.5" customHeight="1">
      <c r="A24" s="948" t="s">
        <v>2297</v>
      </c>
      <c r="B24" s="258" t="s">
        <v>2408</v>
      </c>
      <c r="C24" s="1378">
        <f ca="1">ROUND(IF('数据-取费表'!B22&lt;=1,C19*F22*('数据-取费表'!B19/2+'数据-取费表'!B20),C19*(POWER((1+F22),('数据-取费表'!B19/2+'数据-取费表'!B20))-1)),0)</f>
        <v>2343637</v>
      </c>
      <c r="D24" s="281"/>
      <c r="E24" s="281"/>
      <c r="F24" s="282"/>
      <c r="G24" s="283" t="s">
        <v>2409</v>
      </c>
    </row>
    <row r="25" spans="1:7" s="257" customFormat="1" ht="24">
      <c r="A25" s="948" t="s">
        <v>2299</v>
      </c>
      <c r="B25" s="258" t="s">
        <v>2410</v>
      </c>
      <c r="C25" s="1378">
        <f ca="1">ROUND(IF('数据-取费表'!B22&lt;=1,C20*F22*'数据-取费表'!B22/2,C20*(POWER((1+F22),'数据-取费表'!B22/2)-1)),0)</f>
        <v>68678</v>
      </c>
      <c r="D25" s="281"/>
      <c r="E25" s="284"/>
      <c r="F25" s="282"/>
      <c r="G25" s="285" t="s">
        <v>2411</v>
      </c>
    </row>
    <row r="26" spans="1:7" s="257" customFormat="1">
      <c r="A26" s="948" t="s">
        <v>795</v>
      </c>
      <c r="B26" s="258" t="s">
        <v>2334</v>
      </c>
      <c r="C26" s="281">
        <f ca="1">ROUND(IF('数据-取费表'!B22&lt;=1,F21*F22*'数据-取费表'!B22/2,F21*(POWER((1+F22),'数据-取费表'!B22/2)-1)),4)</f>
        <v>1.4E-3</v>
      </c>
      <c r="D26" s="281"/>
      <c r="E26" s="284"/>
      <c r="F26" s="282"/>
      <c r="G26" s="286"/>
    </row>
    <row r="27" spans="1:7" s="257" customFormat="1" ht="24.75">
      <c r="A27" s="298" t="s">
        <v>2335</v>
      </c>
      <c r="B27" s="287" t="s">
        <v>2336</v>
      </c>
      <c r="C27" s="288">
        <f ca="1">C28</f>
        <v>11417416</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ROUND((C5+C19+C20)*F27,0)</f>
        <v>11417416</v>
      </c>
      <c r="D28" s="278"/>
      <c r="E28" s="279"/>
      <c r="F28" s="289"/>
      <c r="G28" s="290"/>
    </row>
    <row r="29" spans="1:7" s="257" customFormat="1" ht="13.5" customHeight="1">
      <c r="A29" s="948" t="s">
        <v>792</v>
      </c>
      <c r="B29" s="291" t="s">
        <v>2340</v>
      </c>
      <c r="C29" s="281">
        <f ca="1">ROUND(C21*F27,4)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72450803</v>
      </c>
      <c r="D31" s="273"/>
      <c r="E31" s="254"/>
      <c r="F31" s="293"/>
      <c r="G31" s="277" t="s">
        <v>2345</v>
      </c>
    </row>
    <row r="32" spans="1:7" s="251" customFormat="1" ht="15.75">
      <c r="A32" s="295" t="s">
        <v>2412</v>
      </c>
      <c r="B32" s="296"/>
      <c r="C32" s="296"/>
      <c r="D32" s="296"/>
      <c r="E32" s="296"/>
      <c r="F32" s="296"/>
      <c r="G32" s="297"/>
    </row>
    <row r="33" spans="1:7" s="257" customFormat="1" ht="13.5" customHeight="1">
      <c r="A33" s="298" t="s">
        <v>782</v>
      </c>
      <c r="B33" s="253" t="s">
        <v>2413</v>
      </c>
      <c r="C33" s="299">
        <f ca="1">SUM(C34:C38)</f>
        <v>558968609</v>
      </c>
      <c r="D33" s="275"/>
      <c r="E33" s="255"/>
      <c r="F33" s="284"/>
      <c r="G33" s="277"/>
    </row>
    <row r="34" spans="1:7" s="301" customFormat="1" ht="13.5" customHeight="1">
      <c r="A34" s="948" t="s">
        <v>791</v>
      </c>
      <c r="B34" s="258" t="s">
        <v>2348</v>
      </c>
      <c r="C34" s="263">
        <f ca="1">ROUND(IF(B1="",SUMPRODUCT('数据-取费表'!K6:K14,'数据-取费表'!L6:L14),INDIRECT("'数据-取费表'!l"&amp;$G$1)*INDIRECT("'数据-取费表'!k"&amp;$G$1)+'数据-取费表'!L14*INDIRECT("'数据-取费表'!S"&amp;$G$1)),0)</f>
        <v>511838340</v>
      </c>
      <c r="D34" s="260"/>
      <c r="E34" s="263"/>
      <c r="F34" s="300"/>
      <c r="G34" s="262"/>
    </row>
    <row r="35" spans="1:7" ht="13.5" customHeight="1">
      <c r="A35" s="948" t="s">
        <v>796</v>
      </c>
      <c r="B35" s="258" t="s">
        <v>2350</v>
      </c>
      <c r="C35" s="263">
        <f ca="1">ROUND(C34*F35,0)</f>
        <v>15355150</v>
      </c>
      <c r="D35" s="263"/>
      <c r="E35" s="263"/>
      <c r="F35" s="302">
        <f>'数据-取费表'!B33</f>
        <v>0.03</v>
      </c>
      <c r="G35" s="262" t="s">
        <v>2351</v>
      </c>
    </row>
    <row r="36" spans="1:7" ht="24">
      <c r="A36" s="948" t="s">
        <v>797</v>
      </c>
      <c r="B36" s="258" t="s">
        <v>2352</v>
      </c>
      <c r="C36" s="263">
        <f ca="1">ROUND(IF(B1="",SUM('数据-取费表'!AP6:AP13)*F36,IF(INDIRECT("'数据-取费表'!c"&amp;$G$1)="住宅",INDIRECT("'数据-取费表'!k"&amp;$G$1)*INDIRECT("'数据-取费表'!l"&amp;$G$1)*F36,0)),0)</f>
        <v>0</v>
      </c>
      <c r="D36" s="263"/>
      <c r="E36" s="263"/>
      <c r="F36" s="302">
        <f>'数据-取费表'!B34</f>
        <v>0</v>
      </c>
      <c r="G36" s="303" t="s">
        <v>2353</v>
      </c>
    </row>
    <row r="37" spans="1:7" s="301" customFormat="1" ht="13.5" customHeight="1">
      <c r="A37" s="948" t="s">
        <v>798</v>
      </c>
      <c r="B37" s="258" t="s">
        <v>2354</v>
      </c>
      <c r="C37" s="292">
        <f ca="1">ROUND(E37*D37,0)</f>
        <v>24097544</v>
      </c>
      <c r="D37" s="260">
        <f ca="1">D19</f>
        <v>120487.72</v>
      </c>
      <c r="E37" s="292">
        <f>'数据-取费表'!B35</f>
        <v>200</v>
      </c>
      <c r="F37" s="302"/>
      <c r="G37" s="304"/>
    </row>
    <row r="38" spans="1:7" ht="13.5" customHeight="1">
      <c r="A38" s="948" t="s">
        <v>799</v>
      </c>
      <c r="B38" s="258" t="s">
        <v>2356</v>
      </c>
      <c r="C38" s="263">
        <f ca="1">ROUND(C34*F38,0)</f>
        <v>7677575</v>
      </c>
      <c r="D38" s="263"/>
      <c r="E38" s="263"/>
      <c r="F38" s="302">
        <f>'数据-取费表'!B36</f>
        <v>1.4999999999999999E-2</v>
      </c>
      <c r="G38" s="262" t="s">
        <v>2351</v>
      </c>
    </row>
    <row r="39" spans="1:7" s="257" customFormat="1" ht="13.5" customHeight="1">
      <c r="A39" s="298" t="s">
        <v>2357</v>
      </c>
      <c r="B39" s="253" t="s">
        <v>2358</v>
      </c>
      <c r="C39" s="275">
        <f ca="1">ROUND(C33*F20,0)</f>
        <v>16769058</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27347539</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ROUND(IF('数据-取费表'!B22&lt;=1,C33*F22*'数据-取费表'!B20/2,C33*(POWER((1+F22),'数据-取费表'!B20/2)-1)),0)</f>
        <v>26551009</v>
      </c>
      <c r="D42" s="281"/>
      <c r="E42" s="281"/>
      <c r="F42" s="282"/>
      <c r="G42" s="3195" t="s">
        <v>2414</v>
      </c>
    </row>
    <row r="43" spans="1:7" ht="13.5" customHeight="1">
      <c r="A43" s="948" t="s">
        <v>792</v>
      </c>
      <c r="B43" s="258" t="s">
        <v>2368</v>
      </c>
      <c r="C43" s="281">
        <f ca="1">ROUND(IF('数据-取费表'!B22&lt;=1,C39*F22*'数据-取费表'!B20/2,C39*(POWER((1+F22),'数据-取费表'!B20/2)-1)),0)</f>
        <v>796530</v>
      </c>
      <c r="D43" s="281"/>
      <c r="E43" s="281"/>
      <c r="F43" s="282"/>
      <c r="G43" s="3196"/>
    </row>
    <row r="44" spans="1:7" ht="13.5" customHeight="1">
      <c r="A44" s="948" t="s">
        <v>793</v>
      </c>
      <c r="B44" s="258" t="s">
        <v>2369</v>
      </c>
      <c r="C44" s="281">
        <f ca="1">ROUND(IF('数据-取费表'!B22&lt;=1,C40*F22*'数据-取费表'!B20/2,C40*(POWER((1+F22),'数据-取费表'!B20/2)-1)),4)</f>
        <v>1.4E-3</v>
      </c>
      <c r="D44" s="281"/>
      <c r="E44" s="281"/>
      <c r="F44" s="282"/>
      <c r="G44" s="3197"/>
    </row>
    <row r="45" spans="1:7" s="257" customFormat="1" ht="13.5" customHeight="1">
      <c r="A45" s="298" t="s">
        <v>2370</v>
      </c>
      <c r="B45" s="287" t="s">
        <v>2336</v>
      </c>
      <c r="C45" s="288">
        <f ca="1">C46</f>
        <v>132419663</v>
      </c>
      <c r="D45" s="278">
        <f ca="1">C47</f>
        <v>6.8999999999999999E-3</v>
      </c>
      <c r="E45" s="279" t="s">
        <v>2362</v>
      </c>
      <c r="F45" s="289"/>
      <c r="G45" s="290" t="s">
        <v>2371</v>
      </c>
    </row>
    <row r="46" spans="1:7" s="257" customFormat="1" ht="13.5" customHeight="1">
      <c r="A46" s="948" t="s">
        <v>791</v>
      </c>
      <c r="B46" s="291" t="s">
        <v>2372</v>
      </c>
      <c r="C46" s="292">
        <f ca="1">ROUND((C33+C39)*F27,0)</f>
        <v>132419663</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305">
        <f>ROUND(F30/(1+'数据-取费表'!C42),4)</f>
        <v>5.33E-2</v>
      </c>
      <c r="D48" s="279" t="s">
        <v>2362</v>
      </c>
      <c r="E48" s="275"/>
      <c r="F48" s="280"/>
      <c r="G48" s="277" t="s">
        <v>2375</v>
      </c>
    </row>
    <row r="49" spans="1:7" ht="16.5" customHeight="1">
      <c r="A49" s="298" t="s">
        <v>2341</v>
      </c>
      <c r="B49" s="253" t="s">
        <v>2415</v>
      </c>
      <c r="C49" s="275">
        <f ca="1">ROUND((C33+C39+C41+C45)/(1-C40-D41-D45-C48),0)</f>
        <v>809670706</v>
      </c>
      <c r="D49" s="275"/>
      <c r="E49" s="275"/>
      <c r="F49" s="307"/>
      <c r="G49" s="277" t="s">
        <v>2377</v>
      </c>
    </row>
    <row r="50" spans="1:7" s="301" customFormat="1">
      <c r="A50" s="298" t="s">
        <v>2378</v>
      </c>
      <c r="B50" s="253" t="s">
        <v>2379</v>
      </c>
      <c r="C50" s="275"/>
      <c r="D50" s="275"/>
      <c r="E50" s="275"/>
      <c r="F50" s="307">
        <f>IF('数据-取费表'!B24=0,'数据-取费表'!N16,1)</f>
        <v>0.83</v>
      </c>
      <c r="G50" s="290"/>
    </row>
    <row r="51" spans="1:7" ht="16.5" customHeight="1">
      <c r="A51" s="298" t="s">
        <v>2381</v>
      </c>
      <c r="B51" s="253" t="s">
        <v>2416</v>
      </c>
      <c r="C51" s="275">
        <f ca="1">ROUND(C49*F50,0)</f>
        <v>672026686</v>
      </c>
      <c r="D51" s="275"/>
      <c r="E51" s="275"/>
      <c r="F51" s="307"/>
      <c r="G51" s="277" t="s">
        <v>2383</v>
      </c>
    </row>
    <row r="52" spans="1:7" s="251" customFormat="1" ht="16.5" thickBot="1">
      <c r="A52" s="308" t="s">
        <v>2384</v>
      </c>
      <c r="B52" s="309"/>
      <c r="C52" s="310">
        <f ca="1">C31+C51</f>
        <v>744477489</v>
      </c>
      <c r="D52" s="309"/>
      <c r="E52" s="309"/>
      <c r="F52" s="309"/>
      <c r="G52" s="311"/>
    </row>
    <row r="55" spans="1:7" ht="15">
      <c r="B55" s="313" t="s">
        <v>2385</v>
      </c>
      <c r="C55" s="314"/>
    </row>
    <row r="56" spans="1:7">
      <c r="B56" s="316" t="s">
        <v>1512</v>
      </c>
      <c r="C56" s="318">
        <f ca="1">1-C57</f>
        <v>9.6999999999999975E-2</v>
      </c>
    </row>
    <row r="57" spans="1:7">
      <c r="B57" s="316" t="s">
        <v>1513</v>
      </c>
      <c r="C57" s="317">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2417</v>
      </c>
      <c r="B1" s="1578"/>
      <c r="C1" s="1579"/>
      <c r="D1" s="1577"/>
      <c r="E1" s="319"/>
      <c r="F1" s="319"/>
      <c r="G1" s="1578"/>
      <c r="H1" s="319"/>
      <c r="I1" s="319"/>
      <c r="J1" s="319"/>
      <c r="K1" s="319">
        <f>MATCH(C1,'数据-取费表'!A6:A16,0)+5</f>
        <v>9</v>
      </c>
    </row>
    <row r="2" spans="1:33" ht="18" customHeight="1">
      <c r="A2" s="244" t="s">
        <v>2285</v>
      </c>
      <c r="B2" s="247">
        <f ca="1">C32</f>
        <v>0</v>
      </c>
      <c r="C2" s="319" t="s">
        <v>2418</v>
      </c>
      <c r="D2" s="319"/>
      <c r="E2" s="319"/>
      <c r="F2" s="319"/>
      <c r="G2" s="319"/>
      <c r="H2" s="319"/>
      <c r="I2" s="319"/>
      <c r="J2" s="319"/>
      <c r="K2" s="319"/>
    </row>
    <row r="3" spans="1:33" ht="18" customHeight="1" thickBot="1">
      <c r="A3" s="246" t="s">
        <v>2287</v>
      </c>
      <c r="B3" s="247">
        <f ca="1">ROUND(B2*10000/IF(C1="",'数据-汇总表'!E3,INDIRECT("'数据-取费表'!K"&amp;$K$1)),0)</f>
        <v>0</v>
      </c>
      <c r="C3" s="319" t="s">
        <v>2419</v>
      </c>
      <c r="D3" s="319"/>
      <c r="E3" s="319"/>
      <c r="F3" s="319"/>
      <c r="G3" s="319"/>
      <c r="H3" s="319"/>
      <c r="I3" s="319"/>
      <c r="J3" s="319"/>
      <c r="K3" s="319"/>
    </row>
    <row r="4" spans="1:33" s="953" customFormat="1" ht="16.5" customHeight="1">
      <c r="A4" s="950" t="s">
        <v>2420</v>
      </c>
      <c r="B4" s="951"/>
      <c r="C4" s="993">
        <f>SUM(C8:K8)</f>
        <v>0</v>
      </c>
      <c r="D4" s="951"/>
      <c r="E4" s="951"/>
      <c r="F4" s="951"/>
      <c r="G4" s="951"/>
      <c r="H4" s="951"/>
      <c r="I4" s="951"/>
      <c r="J4" s="951"/>
      <c r="K4" s="952"/>
    </row>
    <row r="5" spans="1:33" s="957" customFormat="1" ht="24.75">
      <c r="A5" s="954" t="s">
        <v>2421</v>
      </c>
      <c r="B5" s="955" t="s">
        <v>2422</v>
      </c>
      <c r="C5" s="2547" t="s">
        <v>2423</v>
      </c>
      <c r="D5" s="2547" t="s">
        <v>2424</v>
      </c>
      <c r="E5" s="2547" t="s">
        <v>2425</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2426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2427</v>
      </c>
      <c r="B7" s="139" t="s">
        <v>2428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2429</v>
      </c>
      <c r="B8" s="176" t="s">
        <v>2430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2431</v>
      </c>
      <c r="B9" s="951"/>
      <c r="C9" s="951"/>
      <c r="D9" s="951"/>
      <c r="E9" s="951"/>
      <c r="F9" s="951"/>
      <c r="G9" s="951"/>
      <c r="H9" s="951"/>
      <c r="I9" s="951"/>
      <c r="J9" s="951"/>
      <c r="K9" s="952"/>
    </row>
    <row r="10" spans="1:33" s="967" customFormat="1" ht="13.5" customHeight="1">
      <c r="A10" s="954" t="s">
        <v>2432</v>
      </c>
      <c r="B10" s="8" t="s">
        <v>2433</v>
      </c>
      <c r="C10" s="963" t="s">
        <v>2434</v>
      </c>
      <c r="D10" s="964" t="s">
        <v>2435</v>
      </c>
      <c r="E10" s="964" t="s">
        <v>2436</v>
      </c>
      <c r="F10" s="964" t="s">
        <v>2437</v>
      </c>
      <c r="G10" s="8"/>
      <c r="H10" s="965"/>
      <c r="I10" s="965"/>
      <c r="J10" s="965"/>
      <c r="K10" s="966"/>
    </row>
    <row r="11" spans="1:33" s="972" customFormat="1" ht="13.5" customHeight="1">
      <c r="A11" s="968" t="s">
        <v>1332</v>
      </c>
      <c r="B11" s="969" t="s">
        <v>2438</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1333</v>
      </c>
      <c r="B12" s="969" t="s">
        <v>2439</v>
      </c>
      <c r="C12" s="24">
        <f ca="1">ROUND(C11*F12,0)</f>
        <v>0</v>
      </c>
      <c r="D12" s="970"/>
      <c r="E12" s="374"/>
      <c r="F12" s="973">
        <f>'数据-取费表'!B33</f>
        <v>0.03</v>
      </c>
      <c r="G12" s="8" t="s">
        <v>2440</v>
      </c>
      <c r="H12" s="965"/>
      <c r="I12" s="965"/>
      <c r="J12" s="965"/>
      <c r="K12" s="966"/>
    </row>
    <row r="13" spans="1:33" s="972" customFormat="1" ht="13.5" customHeight="1">
      <c r="A13" s="968" t="s">
        <v>1334</v>
      </c>
      <c r="B13" s="969" t="s">
        <v>2441</v>
      </c>
      <c r="C13" s="24">
        <f ca="1">ROUND(IF(C1="",SUMIF('数据-取费表'!C:C,"住宅",'数据-取费表'!P:P)*F13,IF(INDIRECT("'数据-取费表'!c"&amp;$K$1)="住宅",INDIRECT("'数据-取费表'!P"&amp;$K$1)*F13,0)),0)</f>
        <v>0</v>
      </c>
      <c r="D13" s="1030"/>
      <c r="E13" s="374"/>
      <c r="F13" s="973">
        <f>'数据-取费表'!B34</f>
        <v>0</v>
      </c>
      <c r="G13" s="8" t="s">
        <v>2442</v>
      </c>
      <c r="H13" s="965"/>
      <c r="I13" s="965"/>
      <c r="J13" s="965"/>
      <c r="K13" s="966"/>
    </row>
    <row r="14" spans="1:33" s="974" customFormat="1" ht="13.5" customHeight="1">
      <c r="A14" s="968" t="s">
        <v>1335</v>
      </c>
      <c r="B14" s="969" t="s">
        <v>2443</v>
      </c>
      <c r="C14" s="24">
        <f ca="1">ROUND(D14*E14*F11/10000,0)</f>
        <v>0</v>
      </c>
      <c r="D14" s="1030">
        <f ca="1">IF(C1="",'数据-汇总表'!E3,INDIRECT("'数据-取费表'!K"&amp;$K$1)+INDIRECT("'数据-取费表'!S"&amp;$K$1))</f>
        <v>120487.72</v>
      </c>
      <c r="E14" s="24">
        <f>'数据-取费表'!B35</f>
        <v>200</v>
      </c>
      <c r="F14" s="973"/>
      <c r="G14" s="8" t="s">
        <v>2444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1336</v>
      </c>
      <c r="B15" s="969" t="s">
        <v>2445</v>
      </c>
      <c r="C15" s="980">
        <f ca="1">ROUND(C11*F15,0)</f>
        <v>0</v>
      </c>
      <c r="D15" s="975"/>
      <c r="E15" s="980"/>
      <c r="F15" s="981">
        <f>'数据-取费表'!B36</f>
        <v>1.4999999999999999E-2</v>
      </c>
      <c r="G15" s="139" t="s">
        <v>2446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2447</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2448</v>
      </c>
      <c r="C17" s="24">
        <f ca="1">ROUND(D17*E17/10000,0)</f>
        <v>0</v>
      </c>
      <c r="D17" s="1030">
        <f ca="1">D14</f>
        <v>120487.72</v>
      </c>
      <c r="E17" s="24">
        <f>'数据-取费表'!B32</f>
        <v>0</v>
      </c>
      <c r="F17" s="975"/>
      <c r="G17" s="139" t="s">
        <v>2449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1337</v>
      </c>
      <c r="B18" s="969" t="s">
        <v>2450</v>
      </c>
      <c r="C18" s="24">
        <f ca="1">C19+C20-IF(C1="",'数据-取费表'!B29,IF(G18="已全部缴纳",C19+C20,H18))</f>
        <v>0</v>
      </c>
      <c r="D18" s="1030"/>
      <c r="E18" s="24"/>
      <c r="F18" s="973"/>
      <c r="G18" s="2549"/>
      <c r="H18" s="1574"/>
      <c r="I18" s="2550" t="s">
        <v>2451</v>
      </c>
      <c r="J18" s="976"/>
      <c r="K18" s="977"/>
    </row>
    <row r="19" spans="1:33" s="972" customFormat="1" ht="13.5" customHeight="1">
      <c r="A19" s="968" t="s">
        <v>805</v>
      </c>
      <c r="B19" s="969" t="s">
        <v>2452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2453</v>
      </c>
      <c r="C20" s="24">
        <f ca="1">ROUND(D20*E20/10000,0)</f>
        <v>2410</v>
      </c>
      <c r="D20" s="1030">
        <f ca="1">IF(C1="",'数据-汇总表'!E6,IF(INDIRECT("'数据-取费表'!c"&amp;$K$1)="住宅",INDIRECT("'数据-取费表'!s"&amp;$K$1),INDIRECT("'数据-取费表'!k"&amp;$K$1)+INDIRECT("'数据-取费表'!s"&amp;$K$1)))</f>
        <v>120487.72</v>
      </c>
      <c r="E20" s="24">
        <f>'数据-取费表'!B28</f>
        <v>200</v>
      </c>
      <c r="F20" s="973"/>
      <c r="G20" s="15"/>
      <c r="H20" s="978"/>
      <c r="I20" s="978"/>
      <c r="J20" s="978"/>
      <c r="K20" s="979"/>
    </row>
    <row r="21" spans="1:33" s="972" customFormat="1" ht="13.5" customHeight="1">
      <c r="A21" s="958" t="s">
        <v>802</v>
      </c>
      <c r="B21" s="982" t="s">
        <v>2454</v>
      </c>
      <c r="C21" s="983">
        <f ca="1">C16+C17+C18</f>
        <v>0</v>
      </c>
      <c r="D21" s="984"/>
      <c r="E21" s="324"/>
      <c r="F21" s="324"/>
      <c r="G21" s="139" t="s">
        <v>2455</v>
      </c>
      <c r="H21" s="976"/>
      <c r="I21" s="976"/>
      <c r="J21" s="976"/>
      <c r="K21" s="977"/>
    </row>
    <row r="22" spans="1:33" s="972" customFormat="1" ht="13.5" customHeight="1">
      <c r="A22" s="958" t="s">
        <v>2427</v>
      </c>
      <c r="B22" s="982" t="s">
        <v>2456</v>
      </c>
      <c r="C22" s="983">
        <f ca="1">ROUND(C21*F22,0)</f>
        <v>0</v>
      </c>
      <c r="D22" s="324"/>
      <c r="E22" s="324"/>
      <c r="F22" s="985">
        <f>'数据-取费表'!B37</f>
        <v>0.03</v>
      </c>
      <c r="G22" s="8" t="s">
        <v>2457</v>
      </c>
      <c r="H22" s="965"/>
      <c r="I22" s="965"/>
      <c r="J22" s="965"/>
      <c r="K22" s="966"/>
    </row>
    <row r="23" spans="1:33" s="972" customFormat="1" ht="13.5" customHeight="1">
      <c r="A23" s="958" t="s">
        <v>2429</v>
      </c>
      <c r="B23" s="982" t="s">
        <v>2458</v>
      </c>
      <c r="C23" s="983">
        <f ca="1">ROUND(C4*F23*F11,0)</f>
        <v>0</v>
      </c>
      <c r="D23" s="324"/>
      <c r="E23" s="324"/>
      <c r="F23" s="985">
        <f>'数据-取费表'!B38</f>
        <v>0.03</v>
      </c>
      <c r="G23" s="8" t="s">
        <v>2459</v>
      </c>
      <c r="H23" s="965"/>
      <c r="I23" s="965"/>
      <c r="J23" s="965"/>
      <c r="K23" s="966"/>
    </row>
    <row r="24" spans="1:33" s="972" customFormat="1" ht="13.5" customHeight="1">
      <c r="A24" s="958" t="s">
        <v>2460</v>
      </c>
      <c r="B24" s="982" t="s">
        <v>2461</v>
      </c>
      <c r="C24" s="323">
        <f>ROUND(F24/(1+'数据-取费表'!C42),4)</f>
        <v>2.9000000000000001E-2</v>
      </c>
      <c r="D24" s="324" t="s">
        <v>15</v>
      </c>
      <c r="E24" s="324"/>
      <c r="F24" s="985">
        <f>'数据-取费表'!B48+'数据-取费表'!B49</f>
        <v>3.0499999999999999E-2</v>
      </c>
      <c r="G24" s="8" t="s">
        <v>2462</v>
      </c>
      <c r="H24" s="987"/>
      <c r="I24" s="987"/>
      <c r="J24" s="987"/>
      <c r="K24" s="988"/>
    </row>
    <row r="25" spans="1:33" s="972" customFormat="1" ht="13.5" customHeight="1">
      <c r="A25" s="958" t="s">
        <v>2463</v>
      </c>
      <c r="B25" s="984" t="s">
        <v>2464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2465</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2466</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2467</v>
      </c>
      <c r="B28" s="2552" t="s">
        <v>2468</v>
      </c>
      <c r="C28" s="330">
        <f ca="1">C30</f>
        <v>0</v>
      </c>
      <c r="D28" s="323">
        <f ca="1">C29</f>
        <v>0</v>
      </c>
      <c r="E28" s="325" t="s">
        <v>15</v>
      </c>
      <c r="F28" s="331">
        <f ca="1">IF(C1="",'数据-取费表'!Q16,INDIRECT("'数据-取费表'!q"&amp;$K$1))</f>
        <v>0.23</v>
      </c>
      <c r="G28" s="986"/>
      <c r="H28" s="987"/>
      <c r="I28" s="987"/>
      <c r="J28" s="987"/>
      <c r="K28" s="988"/>
    </row>
    <row r="29" spans="1:33" s="334" customFormat="1" ht="13.5" customHeight="1">
      <c r="A29" s="968" t="s">
        <v>803</v>
      </c>
      <c r="B29" s="991" t="s">
        <v>2469</v>
      </c>
      <c r="C29" s="327">
        <f ca="1">ROUND((1+C24)*F28*'数据-取费表'!B24/'数据-取费表'!B20,4)</f>
        <v>0</v>
      </c>
      <c r="D29" s="327"/>
      <c r="E29" s="328"/>
      <c r="F29" s="333"/>
      <c r="G29" s="139" t="s">
        <v>2470</v>
      </c>
      <c r="H29" s="976"/>
      <c r="I29" s="976"/>
      <c r="J29" s="976"/>
      <c r="K29" s="977"/>
    </row>
    <row r="30" spans="1:33" s="334" customFormat="1" ht="13.5" customHeight="1">
      <c r="A30" s="968" t="s">
        <v>804</v>
      </c>
      <c r="B30" s="991" t="s">
        <v>2471</v>
      </c>
      <c r="C30" s="335">
        <f ca="1">ROUND((C21+C22+C23)*F28,0)</f>
        <v>0</v>
      </c>
      <c r="D30" s="327"/>
      <c r="E30" s="328"/>
      <c r="F30" s="333"/>
      <c r="G30" s="139"/>
      <c r="H30" s="976"/>
      <c r="I30" s="976"/>
      <c r="J30" s="976"/>
      <c r="K30" s="977"/>
    </row>
    <row r="31" spans="1:33" s="972" customFormat="1" ht="13.5" customHeight="1" thickBot="1">
      <c r="A31" s="2553" t="s">
        <v>2472</v>
      </c>
      <c r="B31" s="1002" t="s">
        <v>2473</v>
      </c>
      <c r="C31" s="1003">
        <f>ROUND(C4*F31/(1+'数据-取费表'!C42),0)</f>
        <v>0</v>
      </c>
      <c r="D31" s="1004"/>
      <c r="E31" s="1005"/>
      <c r="F31" s="1006">
        <f>'数据-取费表'!B41</f>
        <v>5.6000000000000001E-2</v>
      </c>
      <c r="G31" s="1007" t="s">
        <v>2474</v>
      </c>
      <c r="H31" s="1008"/>
      <c r="I31" s="1008"/>
      <c r="J31" s="1008"/>
      <c r="K31" s="1009"/>
    </row>
    <row r="32" spans="1:33" s="967" customFormat="1" ht="13.5" customHeight="1" thickBot="1">
      <c r="A32" s="997" t="s">
        <v>2475</v>
      </c>
      <c r="B32" s="998"/>
      <c r="C32" s="999">
        <f ca="1">ROUND((C4-C21-C22-C23-C25-C28-C31)/(1+C24+D25+D28),0)</f>
        <v>0</v>
      </c>
      <c r="D32" s="998"/>
      <c r="E32" s="998"/>
      <c r="F32" s="998"/>
      <c r="G32" s="1000" t="s">
        <v>2476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2284</v>
      </c>
      <c r="B1" s="1934"/>
      <c r="C1" s="241"/>
      <c r="D1" s="241"/>
      <c r="E1" s="241"/>
      <c r="F1" s="241"/>
      <c r="G1" s="1376">
        <f>MATCH(B1,'数据-取费表'!A6:A16,0)+5</f>
        <v>9</v>
      </c>
    </row>
    <row r="2" spans="1:9" s="243" customFormat="1" ht="18" customHeight="1">
      <c r="A2" s="244" t="s">
        <v>2285</v>
      </c>
      <c r="B2" s="245">
        <f ca="1">IF(D2="——",C52,C52-E2)</f>
        <v>348511</v>
      </c>
      <c r="C2" s="242" t="s">
        <v>2286</v>
      </c>
      <c r="D2" s="2540" t="s">
        <v>70</v>
      </c>
      <c r="E2" s="1437" t="e">
        <f ca="1">SUMIF(INDIRECT("'"&amp;G2&amp;"'"&amp;"!A:A"),"承租人权益价值",INDIRECT("'"&amp;G2&amp;"'"&amp;"!c:c"))</f>
        <v>#REF!</v>
      </c>
      <c r="F2" s="2541" t="s">
        <v>2286</v>
      </c>
      <c r="G2" s="2542"/>
    </row>
    <row r="3" spans="1:9" s="243" customFormat="1" ht="18" customHeight="1" thickBot="1">
      <c r="A3" s="246" t="s">
        <v>2287</v>
      </c>
      <c r="B3" s="247">
        <f ca="1">ROUND(B2*10000/(IF(B1="",'数据-汇总表'!E3,INDIRECT("'数据-取费表'!k"&amp;$G$1))),0)</f>
        <v>28925</v>
      </c>
      <c r="C3" s="242" t="s">
        <v>2288</v>
      </c>
      <c r="D3" s="242"/>
      <c r="E3" s="242"/>
      <c r="F3" s="242"/>
      <c r="G3" s="242"/>
    </row>
    <row r="4" spans="1:9" s="251" customFormat="1" ht="15.75">
      <c r="A4" s="248" t="s">
        <v>2289</v>
      </c>
      <c r="B4" s="249"/>
      <c r="C4" s="249"/>
      <c r="D4" s="249"/>
      <c r="E4" s="249"/>
      <c r="F4" s="249"/>
      <c r="G4" s="250"/>
    </row>
    <row r="5" spans="1:9" s="257" customFormat="1" ht="13.5" customHeight="1">
      <c r="A5" s="298" t="s">
        <v>2290</v>
      </c>
      <c r="B5" s="253" t="s">
        <v>2291</v>
      </c>
      <c r="C5" s="254">
        <f ca="1">C6+C7+C8</f>
        <v>187129</v>
      </c>
      <c r="D5" s="254" t="s">
        <v>2292</v>
      </c>
      <c r="E5" s="255" t="s">
        <v>2293</v>
      </c>
      <c r="F5" s="255" t="s">
        <v>2294</v>
      </c>
      <c r="G5" s="256"/>
    </row>
    <row r="6" spans="1:9" s="257" customFormat="1" ht="13.5" customHeight="1">
      <c r="A6" s="946" t="s">
        <v>2295</v>
      </c>
      <c r="B6" s="258" t="s">
        <v>2296</v>
      </c>
      <c r="C6" s="259">
        <f ca="1">基准地价修正!E33+基准地价修正!V2+基准地价修正!V3+基准地价修正!V4+基准地价修正!V5+基准地价修正!V6</f>
        <v>179252</v>
      </c>
      <c r="D6" s="260"/>
      <c r="E6" s="261"/>
      <c r="F6" s="261"/>
      <c r="G6" s="262"/>
    </row>
    <row r="7" spans="1:9" s="257" customFormat="1" ht="13.5" customHeight="1">
      <c r="A7" s="946" t="s">
        <v>2297</v>
      </c>
      <c r="B7" s="258" t="s">
        <v>2298</v>
      </c>
      <c r="C7" s="263">
        <f ca="1">ROUND(C6*F7,0)</f>
        <v>5467</v>
      </c>
      <c r="D7" s="263"/>
      <c r="E7" s="261"/>
      <c r="F7" s="264">
        <f>'数据-取费表'!B48+'数据-取费表'!B49</f>
        <v>3.0499999999999999E-2</v>
      </c>
      <c r="G7" s="262"/>
    </row>
    <row r="8" spans="1:9" s="266" customFormat="1">
      <c r="A8" s="946" t="s">
        <v>2299</v>
      </c>
      <c r="B8" s="258" t="s">
        <v>2300</v>
      </c>
      <c r="C8" s="263">
        <f>IF(G8="已包含在土地购买价格中","0",IF(B1="",'数据-取费表'!B29,IF(G9="全部缴纳",C9+C10,H9)))</f>
        <v>2410</v>
      </c>
      <c r="D8" s="265"/>
      <c r="E8" s="263"/>
      <c r="F8" s="264"/>
      <c r="G8" s="2543" t="s">
        <v>3041</v>
      </c>
    </row>
    <row r="9" spans="1:9" s="257" customFormat="1" ht="13.5" customHeight="1">
      <c r="A9" s="947" t="s">
        <v>800</v>
      </c>
      <c r="B9" s="267" t="s">
        <v>2301</v>
      </c>
      <c r="C9" s="268">
        <f ca="1">ROUND(D9*E9/10000,0)</f>
        <v>0</v>
      </c>
      <c r="D9" s="1029">
        <f ca="1">IF(B1="",'数据-汇总表'!E5,IF(INDIRECT("'数据-取费表'!c"&amp;$G$1)="住宅",INDIRECT("'数据-取费表'!k"&amp;$G$1),0))</f>
        <v>0</v>
      </c>
      <c r="E9" s="268">
        <f>'数据-取费表'!B27</f>
        <v>160</v>
      </c>
      <c r="F9" s="264"/>
      <c r="G9" s="2544" t="s">
        <v>3042</v>
      </c>
      <c r="H9" s="1387"/>
      <c r="I9" s="2545" t="s">
        <v>2302</v>
      </c>
    </row>
    <row r="10" spans="1:9" s="257" customFormat="1" ht="13.5" customHeight="1">
      <c r="A10" s="947" t="s">
        <v>801</v>
      </c>
      <c r="B10" s="267" t="s">
        <v>2303</v>
      </c>
      <c r="C10" s="268">
        <f ca="1">ROUND(D10*E10/10000,0)</f>
        <v>2410</v>
      </c>
      <c r="D10" s="1029">
        <f ca="1">IF(B1="",'数据-汇总表'!E6,IF(INDIRECT("'数据-取费表'!c"&amp;$G$1)="住宅",INDIRECT("'数据-取费表'!s"&amp;$G$1),INDIRECT("'数据-取费表'!k"&amp;$G$1)+INDIRECT("'数据-取费表'!s"&amp;$G$1)))</f>
        <v>120487.72</v>
      </c>
      <c r="E10" s="268">
        <f>'数据-取费表'!B28</f>
        <v>200</v>
      </c>
      <c r="F10" s="264"/>
      <c r="G10" s="269"/>
    </row>
    <row r="11" spans="1:9" s="257" customFormat="1" ht="13.5" hidden="1" customHeight="1">
      <c r="A11" s="270" t="s">
        <v>7</v>
      </c>
      <c r="B11" s="258" t="s">
        <v>2304</v>
      </c>
      <c r="C11" s="254"/>
      <c r="D11" s="1031"/>
      <c r="E11" s="261"/>
      <c r="F11" s="261"/>
      <c r="G11" s="262"/>
    </row>
    <row r="12" spans="1:9" s="257" customFormat="1" ht="13.5" hidden="1" customHeight="1">
      <c r="A12" s="270" t="s">
        <v>8</v>
      </c>
      <c r="B12" s="258" t="s">
        <v>2305</v>
      </c>
      <c r="C12" s="254">
        <v>0</v>
      </c>
      <c r="D12" s="1031"/>
      <c r="E12" s="271"/>
      <c r="F12" s="264">
        <v>3.0499999999999999E-2</v>
      </c>
      <c r="G12" s="262"/>
    </row>
    <row r="13" spans="1:9" s="257" customFormat="1" ht="13.5" hidden="1" customHeight="1">
      <c r="A13" s="270" t="s">
        <v>9</v>
      </c>
      <c r="B13" s="258" t="s">
        <v>2306</v>
      </c>
      <c r="C13" s="254"/>
      <c r="D13" s="1031"/>
      <c r="E13" s="261"/>
      <c r="F13" s="261"/>
      <c r="G13" s="262"/>
    </row>
    <row r="14" spans="1:9" s="257" customFormat="1" ht="13.5" hidden="1" customHeight="1">
      <c r="A14" s="270" t="s">
        <v>10</v>
      </c>
      <c r="B14" s="258" t="s">
        <v>2307</v>
      </c>
      <c r="C14" s="254"/>
      <c r="D14" s="1031"/>
      <c r="E14" s="261"/>
      <c r="F14" s="261"/>
      <c r="G14" s="262" t="s">
        <v>2308</v>
      </c>
    </row>
    <row r="15" spans="1:9" s="257" customFormat="1" ht="13.5" hidden="1" customHeight="1">
      <c r="A15" s="270" t="s">
        <v>11</v>
      </c>
      <c r="B15" s="258" t="s">
        <v>2309</v>
      </c>
      <c r="C15" s="263"/>
      <c r="D15" s="1031"/>
      <c r="E15" s="261"/>
      <c r="F15" s="261"/>
      <c r="G15" s="262" t="s">
        <v>2310</v>
      </c>
    </row>
    <row r="16" spans="1:9" s="257" customFormat="1" ht="13.5" hidden="1" customHeight="1">
      <c r="A16" s="270" t="s">
        <v>12</v>
      </c>
      <c r="B16" s="258" t="s">
        <v>2307</v>
      </c>
      <c r="C16" s="263"/>
      <c r="D16" s="1031"/>
      <c r="E16" s="261"/>
      <c r="F16" s="261"/>
      <c r="G16" s="262"/>
    </row>
    <row r="17" spans="1:7" s="257" customFormat="1" ht="13.5" hidden="1" customHeight="1">
      <c r="A17" s="270" t="s">
        <v>13</v>
      </c>
      <c r="B17" s="258" t="s">
        <v>2311</v>
      </c>
      <c r="C17" s="272"/>
      <c r="D17" s="1032"/>
      <c r="E17" s="272"/>
      <c r="F17" s="272"/>
      <c r="G17" s="262" t="s">
        <v>2310</v>
      </c>
    </row>
    <row r="18" spans="1:7" s="257" customFormat="1" ht="13.5" hidden="1" customHeight="1">
      <c r="A18" s="270" t="s">
        <v>14</v>
      </c>
      <c r="B18" s="258" t="s">
        <v>2312</v>
      </c>
      <c r="C18" s="263">
        <v>0</v>
      </c>
      <c r="D18" s="1031"/>
      <c r="E18" s="261"/>
      <c r="F18" s="264">
        <v>3.0499999999999999E-2</v>
      </c>
      <c r="G18" s="262" t="s">
        <v>2313</v>
      </c>
    </row>
    <row r="19" spans="1:7" s="266" customFormat="1" ht="13.5" customHeight="1">
      <c r="A19" s="298" t="s">
        <v>2314</v>
      </c>
      <c r="B19" s="253" t="s">
        <v>2315</v>
      </c>
      <c r="C19" s="254" t="str">
        <f>IF(G19="已包含在土地取得成本中","0",ROUND(D19*E19/10000,0))</f>
        <v>0</v>
      </c>
      <c r="D19" s="1033">
        <f ca="1">D9+D10</f>
        <v>120487.72</v>
      </c>
      <c r="E19" s="254">
        <f>'数据-取费表'!B31</f>
        <v>200</v>
      </c>
      <c r="F19" s="274"/>
      <c r="G19" s="2543" t="s">
        <v>3146</v>
      </c>
    </row>
    <row r="20" spans="1:7" s="257" customFormat="1" ht="13.5" customHeight="1">
      <c r="A20" s="298" t="s">
        <v>2316</v>
      </c>
      <c r="B20" s="253" t="s">
        <v>2317</v>
      </c>
      <c r="C20" s="275">
        <f ca="1">ROUND((C5+C19)*F20,0)</f>
        <v>5614</v>
      </c>
      <c r="D20" s="275"/>
      <c r="E20" s="275"/>
      <c r="F20" s="276">
        <f>'数据-取费表'!B37</f>
        <v>0.03</v>
      </c>
      <c r="G20" s="277" t="s">
        <v>2318</v>
      </c>
    </row>
    <row r="21" spans="1:7" s="257" customFormat="1" ht="13.5" customHeight="1">
      <c r="A21" s="298" t="s">
        <v>2319</v>
      </c>
      <c r="B21" s="253" t="s">
        <v>2320</v>
      </c>
      <c r="C21" s="278">
        <f>F21</f>
        <v>0.03</v>
      </c>
      <c r="D21" s="279" t="s">
        <v>2321</v>
      </c>
      <c r="E21" s="275"/>
      <c r="F21" s="276">
        <f>'数据-取费表'!B38</f>
        <v>0.03</v>
      </c>
      <c r="G21" s="277" t="s">
        <v>2322</v>
      </c>
    </row>
    <row r="22" spans="1:7" s="257" customFormat="1" ht="13.5" customHeight="1">
      <c r="A22" s="298" t="s">
        <v>2323</v>
      </c>
      <c r="B22" s="253" t="s">
        <v>2324</v>
      </c>
      <c r="C22" s="1351">
        <f ca="1">ROUND(SUM(C23:C25),0)</f>
        <v>18466</v>
      </c>
      <c r="D22" s="278">
        <f ca="1">C26</f>
        <v>1.4E-3</v>
      </c>
      <c r="E22" s="279" t="s">
        <v>2321</v>
      </c>
      <c r="F22" s="280">
        <f ca="1">'数据-取费表'!B40</f>
        <v>4.7500000000000001E-2</v>
      </c>
      <c r="G22" s="277" t="str">
        <f>IF('数据-取费表'!B22&lt;=1,"单利计息","复利计息")</f>
        <v>复利计息</v>
      </c>
    </row>
    <row r="23" spans="1:7" s="257" customFormat="1" ht="13.5" customHeight="1">
      <c r="A23" s="948" t="s">
        <v>2325</v>
      </c>
      <c r="B23" s="258" t="s">
        <v>2326</v>
      </c>
      <c r="C23" s="1352">
        <f ca="1">ROUND(IF('数据-取费表'!B22&lt;=1,C5*F22*'数据-取费表'!B23,C5*(POWER((1+F22),'数据-取费表'!B23)-1)),0)</f>
        <v>18199</v>
      </c>
      <c r="D23" s="281"/>
      <c r="E23" s="281"/>
      <c r="F23" s="282"/>
      <c r="G23" s="283" t="s">
        <v>2327</v>
      </c>
    </row>
    <row r="24" spans="1:7" s="257" customFormat="1" ht="13.5" customHeight="1">
      <c r="A24" s="948" t="s">
        <v>2328</v>
      </c>
      <c r="B24" s="258" t="s">
        <v>2329</v>
      </c>
      <c r="C24" s="1352">
        <f ca="1">ROUND(IF('数据-取费表'!B22&lt;=1,C19*F22*('数据-取费表'!B19/2+'数据-取费表'!B21),C19*(POWER((1+F22),('数据-取费表'!B19/2+'数据-取费表'!B21))-1)),0)</f>
        <v>0</v>
      </c>
      <c r="D24" s="281"/>
      <c r="E24" s="281"/>
      <c r="F24" s="282"/>
      <c r="G24" s="283" t="s">
        <v>2330</v>
      </c>
    </row>
    <row r="25" spans="1:7" s="257" customFormat="1" ht="24">
      <c r="A25" s="948" t="s">
        <v>2331</v>
      </c>
      <c r="B25" s="258" t="s">
        <v>2332</v>
      </c>
      <c r="C25" s="1352">
        <f ca="1">ROUND(IF('数据-取费表'!B22&lt;=1,C20*F22*'数据-取费表'!B23/2,C20*(POWER((1+F22),'数据-取费表'!B23/2)-1)),0)</f>
        <v>267</v>
      </c>
      <c r="D25" s="281"/>
      <c r="E25" s="284"/>
      <c r="F25" s="282"/>
      <c r="G25" s="285" t="s">
        <v>2333</v>
      </c>
    </row>
    <row r="26" spans="1:7" s="257" customFormat="1">
      <c r="A26" s="948" t="s">
        <v>795</v>
      </c>
      <c r="B26" s="258" t="s">
        <v>2334</v>
      </c>
      <c r="C26" s="281">
        <f ca="1">ROUND(IF('数据-取费表'!B22&lt;=1,F21*F22*'数据-取费表'!B23/2,F21*(POWER((1+F22),'数据-取费表'!B23/2)-1)),4)</f>
        <v>1.4E-3</v>
      </c>
      <c r="D26" s="281"/>
      <c r="E26" s="284"/>
      <c r="F26" s="282"/>
      <c r="G26" s="286"/>
    </row>
    <row r="27" spans="1:7" s="257" customFormat="1" ht="24.75">
      <c r="A27" s="298" t="s">
        <v>2335</v>
      </c>
      <c r="B27" s="287" t="s">
        <v>2336</v>
      </c>
      <c r="C27" s="288">
        <f ca="1">C28</f>
        <v>44331</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ROUND((C5+C19+C20)*F27*'数据-取费表'!B21/'数据-取费表'!B20,0)</f>
        <v>44331</v>
      </c>
      <c r="D28" s="278"/>
      <c r="E28" s="279"/>
      <c r="F28" s="289"/>
      <c r="G28" s="290"/>
    </row>
    <row r="29" spans="1:7" s="257" customFormat="1" ht="13.5" customHeight="1">
      <c r="A29" s="948" t="s">
        <v>792</v>
      </c>
      <c r="B29" s="291" t="s">
        <v>2340</v>
      </c>
      <c r="C29" s="281">
        <f ca="1">ROUND(C21*F27*'数据-取费表'!B21/'数据-取费表'!B20,4)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281308</v>
      </c>
      <c r="D31" s="273"/>
      <c r="E31" s="254"/>
      <c r="F31" s="293"/>
      <c r="G31" s="277" t="s">
        <v>2345</v>
      </c>
    </row>
    <row r="32" spans="1:7" s="251" customFormat="1" ht="15.75">
      <c r="A32" s="295" t="s">
        <v>2346</v>
      </c>
      <c r="B32" s="296"/>
      <c r="C32" s="296"/>
      <c r="D32" s="296"/>
      <c r="E32" s="296"/>
      <c r="F32" s="296"/>
      <c r="G32" s="297"/>
    </row>
    <row r="33" spans="1:7" s="257" customFormat="1" ht="13.5" customHeight="1">
      <c r="A33" s="298" t="s">
        <v>782</v>
      </c>
      <c r="B33" s="253" t="s">
        <v>2347</v>
      </c>
      <c r="C33" s="299">
        <f ca="1">SUM(C34:C38)</f>
        <v>55896</v>
      </c>
      <c r="D33" s="275"/>
      <c r="E33" s="255"/>
      <c r="F33" s="284"/>
      <c r="G33" s="277"/>
    </row>
    <row r="34" spans="1:7" s="301" customFormat="1" ht="13.5" customHeight="1">
      <c r="A34" s="948" t="s">
        <v>791</v>
      </c>
      <c r="B34" s="258" t="s">
        <v>2348</v>
      </c>
      <c r="C34" s="263">
        <f ca="1">IF(B1="",IF(F34=100%,'数据-取费表'!M16,'数据-取费表'!O16),IF(F34=100%,INDIRECT("'数据-取费表'!m"&amp;$G$1)+INDIRECT("'数据-取费表'!t"&amp;$G$1),INDIRECT("'数据-取费表'!o"&amp;$G$1)+INDIRECT("'数据-取费表'!aq"&amp;$G$1)))</f>
        <v>51183</v>
      </c>
      <c r="D34" s="260"/>
      <c r="E34" s="263"/>
      <c r="F34" s="300">
        <f ca="1">IF('数据-取费表'!B24=0,1,IF(B1="",'数据-取费表'!N16,INDIRECT("'数据-取费表'!n"&amp;$G$1)))</f>
        <v>1</v>
      </c>
      <c r="G34" s="262" t="s">
        <v>2349</v>
      </c>
    </row>
    <row r="35" spans="1:7" ht="13.5" customHeight="1">
      <c r="A35" s="948" t="s">
        <v>796</v>
      </c>
      <c r="B35" s="258" t="s">
        <v>2350</v>
      </c>
      <c r="C35" s="263">
        <f ca="1">ROUND(C34*F35,0)</f>
        <v>1535</v>
      </c>
      <c r="D35" s="263"/>
      <c r="E35" s="263"/>
      <c r="F35" s="302">
        <f>'数据-取费表'!B33</f>
        <v>0.03</v>
      </c>
      <c r="G35" s="262" t="s">
        <v>2351</v>
      </c>
    </row>
    <row r="36" spans="1:7" ht="24">
      <c r="A36" s="948" t="s">
        <v>797</v>
      </c>
      <c r="B36" s="258" t="s">
        <v>2352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2353</v>
      </c>
    </row>
    <row r="37" spans="1:7" s="301" customFormat="1" ht="13.5" customHeight="1">
      <c r="A37" s="948" t="s">
        <v>798</v>
      </c>
      <c r="B37" s="258" t="s">
        <v>2354</v>
      </c>
      <c r="C37" s="292">
        <f ca="1">ROUND(E37*D37*F34/10000,0)</f>
        <v>2410</v>
      </c>
      <c r="D37" s="260">
        <f ca="1">D19</f>
        <v>120487.72</v>
      </c>
      <c r="E37" s="292">
        <f>'数据-取费表'!B35</f>
        <v>200</v>
      </c>
      <c r="F37" s="302"/>
      <c r="G37" s="304" t="s">
        <v>2355</v>
      </c>
    </row>
    <row r="38" spans="1:7" ht="13.5" customHeight="1">
      <c r="A38" s="948" t="s">
        <v>799</v>
      </c>
      <c r="B38" s="258" t="s">
        <v>2356</v>
      </c>
      <c r="C38" s="263">
        <f ca="1">ROUND(C34*F38,0)</f>
        <v>768</v>
      </c>
      <c r="D38" s="263"/>
      <c r="E38" s="263"/>
      <c r="F38" s="302">
        <f>'数据-取费表'!B36</f>
        <v>1.4999999999999999E-2</v>
      </c>
      <c r="G38" s="262" t="s">
        <v>2351</v>
      </c>
    </row>
    <row r="39" spans="1:7" s="257" customFormat="1" ht="13.5" customHeight="1">
      <c r="A39" s="298" t="s">
        <v>2357</v>
      </c>
      <c r="B39" s="253" t="s">
        <v>2358</v>
      </c>
      <c r="C39" s="275">
        <f ca="1">ROUND(C33*F20,0)</f>
        <v>1677</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2735</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ROUND(IF('数据-取费表'!B22&lt;=1,C33*F22*'数据-取费表'!B21/2,C33*(POWER((1+F22),'数据-取费表'!B21/2)-1)),0)</f>
        <v>2655</v>
      </c>
      <c r="D42" s="281"/>
      <c r="E42" s="281"/>
      <c r="F42" s="282"/>
      <c r="G42" s="3195" t="s">
        <v>2367</v>
      </c>
    </row>
    <row r="43" spans="1:7" ht="13.5" customHeight="1">
      <c r="A43" s="948" t="s">
        <v>792</v>
      </c>
      <c r="B43" s="258" t="s">
        <v>2368</v>
      </c>
      <c r="C43" s="281">
        <f ca="1">ROUND(IF('数据-取费表'!B22&lt;=1,C39*F22*'数据-取费表'!B21/2,C39*(POWER((1+F22),'数据-取费表'!B21/2)-1)),0)</f>
        <v>80</v>
      </c>
      <c r="D43" s="281"/>
      <c r="E43" s="281"/>
      <c r="F43" s="282"/>
      <c r="G43" s="3196"/>
    </row>
    <row r="44" spans="1:7" ht="13.5" customHeight="1">
      <c r="A44" s="948" t="s">
        <v>793</v>
      </c>
      <c r="B44" s="258" t="s">
        <v>2369</v>
      </c>
      <c r="C44" s="281">
        <f ca="1">ROUND(IF('数据-取费表'!B22&lt;=1,C40*F22*'数据-取费表'!B21/2,C40*(POWER((1+F22),'数据-取费表'!B21/2)-1)),4)</f>
        <v>1.4E-3</v>
      </c>
      <c r="D44" s="281"/>
      <c r="E44" s="281"/>
      <c r="F44" s="282"/>
      <c r="G44" s="3197"/>
    </row>
    <row r="45" spans="1:7" s="257" customFormat="1" ht="13.5" customHeight="1">
      <c r="A45" s="298" t="s">
        <v>2370</v>
      </c>
      <c r="B45" s="287" t="s">
        <v>2336</v>
      </c>
      <c r="C45" s="288">
        <f ca="1">C46</f>
        <v>13242</v>
      </c>
      <c r="D45" s="278">
        <f ca="1">C47</f>
        <v>6.8999999999999999E-3</v>
      </c>
      <c r="E45" s="279" t="s">
        <v>2362</v>
      </c>
      <c r="F45" s="289"/>
      <c r="G45" s="290" t="s">
        <v>2371</v>
      </c>
    </row>
    <row r="46" spans="1:7" s="257" customFormat="1" ht="13.5" customHeight="1">
      <c r="A46" s="948" t="s">
        <v>791</v>
      </c>
      <c r="B46" s="291" t="s">
        <v>2372</v>
      </c>
      <c r="C46" s="292">
        <f ca="1">ROUND((C33+C39)*F27,0)</f>
        <v>13242</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1725">
        <f>ROUND(F30/(1+'数据-取费表'!C42),4)</f>
        <v>5.33E-2</v>
      </c>
      <c r="D48" s="279" t="s">
        <v>2362</v>
      </c>
      <c r="E48" s="275"/>
      <c r="F48" s="280"/>
      <c r="G48" s="277" t="s">
        <v>2375</v>
      </c>
    </row>
    <row r="49" spans="1:7" ht="16.5" customHeight="1">
      <c r="A49" s="298" t="s">
        <v>2341</v>
      </c>
      <c r="B49" s="253" t="s">
        <v>2376</v>
      </c>
      <c r="C49" s="275">
        <f ca="1">ROUND((C33+C39+C41+C45)/(1-C40-D41-D45-C48),0)</f>
        <v>80967</v>
      </c>
      <c r="D49" s="275"/>
      <c r="E49" s="275"/>
      <c r="F49" s="307"/>
      <c r="G49" s="277" t="s">
        <v>2377</v>
      </c>
    </row>
    <row r="50" spans="1:7" s="301" customFormat="1" ht="24">
      <c r="A50" s="298" t="s">
        <v>2378</v>
      </c>
      <c r="B50" s="253" t="s">
        <v>2379</v>
      </c>
      <c r="C50" s="275"/>
      <c r="D50" s="275"/>
      <c r="E50" s="275"/>
      <c r="F50" s="307">
        <f>IF('数据-取费表'!B24=0,'数据-取费表'!N16,1)</f>
        <v>0.83</v>
      </c>
      <c r="G50" s="290" t="s">
        <v>2380</v>
      </c>
    </row>
    <row r="51" spans="1:7" ht="16.5" customHeight="1">
      <c r="A51" s="298" t="s">
        <v>2381</v>
      </c>
      <c r="B51" s="253" t="s">
        <v>2382</v>
      </c>
      <c r="C51" s="275">
        <f ca="1">ROUND(C49*F50,0)</f>
        <v>67203</v>
      </c>
      <c r="D51" s="275"/>
      <c r="E51" s="275"/>
      <c r="F51" s="307"/>
      <c r="G51" s="277" t="s">
        <v>2383</v>
      </c>
    </row>
    <row r="52" spans="1:7" s="251" customFormat="1" ht="16.5" thickBot="1">
      <c r="A52" s="308" t="s">
        <v>2384</v>
      </c>
      <c r="B52" s="309"/>
      <c r="C52" s="310">
        <f ca="1">C31+C51</f>
        <v>348511</v>
      </c>
      <c r="D52" s="309"/>
      <c r="E52" s="309"/>
      <c r="F52" s="309"/>
      <c r="G52" s="311"/>
    </row>
    <row r="55" spans="1:7" ht="15">
      <c r="B55" s="313" t="s">
        <v>2385</v>
      </c>
      <c r="C55" s="314"/>
    </row>
    <row r="56" spans="1:7">
      <c r="B56" s="316" t="s">
        <v>1512</v>
      </c>
      <c r="C56" s="318">
        <f ca="1">1-C57</f>
        <v>0.80699999999999994</v>
      </c>
    </row>
    <row r="57" spans="1:7">
      <c r="B57" s="316" t="s">
        <v>1513</v>
      </c>
      <c r="C57" s="317">
        <f ca="1">ROUND(C51/C52,3)</f>
        <v>0.193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1" sqref="J11"/>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2484</v>
      </c>
      <c r="B1" s="2555"/>
      <c r="C1" s="2555"/>
      <c r="D1" s="2555"/>
      <c r="E1" s="2556"/>
    </row>
    <row r="2" spans="1:6" ht="15.75">
      <c r="A2" s="2557" t="s">
        <v>2285</v>
      </c>
      <c r="B2" s="2558">
        <f ca="1">SUMIF(B6:B13,"&lt;&gt;#ref!",B6:B13)</f>
        <v>501917</v>
      </c>
      <c r="C2" s="2559" t="s">
        <v>2477</v>
      </c>
      <c r="D2" s="2560" t="s">
        <v>2478</v>
      </c>
      <c r="E2" s="2561">
        <f>SUM(E6:E13)</f>
        <v>120487.72</v>
      </c>
    </row>
    <row r="3" spans="1:6" ht="15.75">
      <c r="A3" s="2557" t="s">
        <v>1393</v>
      </c>
      <c r="B3" s="2558">
        <f ca="1">ROUND(B2*10000/E2,0)</f>
        <v>41657</v>
      </c>
      <c r="C3" s="2559" t="s">
        <v>2485</v>
      </c>
      <c r="D3" s="2562"/>
      <c r="E3" s="2563"/>
    </row>
    <row r="4" spans="1:6" ht="15.75">
      <c r="A4" s="2564"/>
      <c r="B4" s="2562"/>
      <c r="C4" s="2562"/>
      <c r="D4" s="2562"/>
      <c r="E4" s="2563"/>
    </row>
    <row r="5" spans="1:6" ht="15">
      <c r="A5" s="2565" t="s">
        <v>2479</v>
      </c>
      <c r="B5" s="3198" t="s">
        <v>2480</v>
      </c>
      <c r="C5" s="3198"/>
      <c r="D5" s="2566"/>
      <c r="E5" s="2567" t="s">
        <v>2481</v>
      </c>
      <c r="F5" s="2568" t="s">
        <v>2482</v>
      </c>
    </row>
    <row r="6" spans="1:6">
      <c r="A6" s="2569" t="str">
        <f>'数据-取费表'!AN6</f>
        <v>收益法租约商业</v>
      </c>
      <c r="B6" s="2568">
        <f ca="1">IF(F6="是",'数据-取费表'!AO6,0)</f>
        <v>110070</v>
      </c>
      <c r="C6" s="2559" t="s">
        <v>2477</v>
      </c>
      <c r="D6" s="2562"/>
      <c r="E6" s="2570">
        <f>IF(OR(A6=0,F6="否"),0,'数据-取费表'!K6+'数据-取费表'!S6)</f>
        <v>33873.870000000003</v>
      </c>
      <c r="F6" s="2571" t="s">
        <v>2483</v>
      </c>
    </row>
    <row r="7" spans="1:6">
      <c r="A7" s="2569" t="str">
        <f>'数据-取费表'!AN7</f>
        <v>收益法无租约商业</v>
      </c>
      <c r="B7" s="2568">
        <f ca="1">IF(F7="是",'数据-取费表'!AO7,0)</f>
        <v>374762</v>
      </c>
      <c r="C7" s="2559" t="s">
        <v>2477</v>
      </c>
      <c r="D7" s="2562"/>
      <c r="E7" s="2570">
        <f>IF(OR(A7=0,F7="否"),0,'数据-取费表'!K7+'数据-取费表'!S7)</f>
        <v>68980.939999999988</v>
      </c>
      <c r="F7" s="2571" t="s">
        <v>2483</v>
      </c>
    </row>
    <row r="8" spans="1:6">
      <c r="A8" s="2569" t="str">
        <f>'数据-取费表'!AN8</f>
        <v>收益法车库</v>
      </c>
      <c r="B8" s="2568">
        <f ca="1">IF(F8="是",'数据-取费表'!AO8,0)</f>
        <v>17085</v>
      </c>
      <c r="C8" s="2559" t="s">
        <v>2477</v>
      </c>
      <c r="D8" s="2562"/>
      <c r="E8" s="2570">
        <f>IF(OR(A8=0,F8="否"),0,'数据-取费表'!K8+'数据-取费表'!S8)</f>
        <v>17632.91</v>
      </c>
      <c r="F8" s="2571" t="s">
        <v>3019</v>
      </c>
    </row>
    <row r="9" spans="1:6">
      <c r="A9" s="2569">
        <f>'数据-取费表'!AN9</f>
        <v>0</v>
      </c>
      <c r="B9" s="2568">
        <f>IF(F9="是",'数据-取费表'!AO9,0)</f>
        <v>0</v>
      </c>
      <c r="C9" s="2559" t="s">
        <v>2477</v>
      </c>
      <c r="D9" s="2562"/>
      <c r="E9" s="2570">
        <f>IF(OR(A9=0,F9="否"),0,'数据-取费表'!K9+'数据-取费表'!S9)</f>
        <v>0</v>
      </c>
      <c r="F9" s="2571" t="s">
        <v>3021</v>
      </c>
    </row>
    <row r="10" spans="1:6">
      <c r="A10" s="2569">
        <f>'数据-取费表'!AN10</f>
        <v>0</v>
      </c>
      <c r="B10" s="2568">
        <f>IF(F10="是",'数据-取费表'!AO10,0)</f>
        <v>0</v>
      </c>
      <c r="C10" s="2559" t="s">
        <v>2477</v>
      </c>
      <c r="D10" s="2562"/>
      <c r="E10" s="2570">
        <f>IF(OR(A10=0,F10="否"),0,'数据-取费表'!K10+'数据-取费表'!S10)</f>
        <v>0</v>
      </c>
      <c r="F10" s="2571" t="s">
        <v>3021</v>
      </c>
    </row>
    <row r="11" spans="1:6">
      <c r="A11" s="2569">
        <f>'数据-取费表'!AN11</f>
        <v>0</v>
      </c>
      <c r="B11" s="2568">
        <f>IF(F11="是",'数据-取费表'!AO11,0)</f>
        <v>0</v>
      </c>
      <c r="C11" s="2559" t="s">
        <v>2477</v>
      </c>
      <c r="D11" s="2562"/>
      <c r="E11" s="2570">
        <f>IF(OR(A11=0,F11="否"),0,'数据-取费表'!K11+'数据-取费表'!S11)</f>
        <v>0</v>
      </c>
      <c r="F11" s="2571" t="s">
        <v>3021</v>
      </c>
    </row>
    <row r="12" spans="1:6">
      <c r="A12" s="2569">
        <f>'数据-取费表'!AN12</f>
        <v>0</v>
      </c>
      <c r="B12" s="2568">
        <f>IF(F12="是",'数据-取费表'!AO12,0)</f>
        <v>0</v>
      </c>
      <c r="C12" s="2559" t="s">
        <v>2477</v>
      </c>
      <c r="D12" s="2562"/>
      <c r="E12" s="2570">
        <f>IF(OR(A12=0,F12="否"),0,'数据-取费表'!K12+'数据-取费表'!S12)</f>
        <v>0</v>
      </c>
      <c r="F12" s="2571" t="s">
        <v>3021</v>
      </c>
    </row>
    <row r="13" spans="1:6" ht="15" thickBot="1">
      <c r="A13" s="2572">
        <f>'数据-取费表'!AN13</f>
        <v>0</v>
      </c>
      <c r="B13" s="2568">
        <f>IF(F13="是",'数据-取费表'!AO13,0)</f>
        <v>0</v>
      </c>
      <c r="C13" s="2573" t="s">
        <v>2477</v>
      </c>
      <c r="D13" s="2574"/>
      <c r="E13" s="2570">
        <f>IF(OR(A13=0,F13="否"),0,'数据-取费表'!K13+'数据-取费表'!S13)</f>
        <v>0</v>
      </c>
      <c r="F13" s="2571" t="s">
        <v>3021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31" sqref="G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3127</v>
      </c>
      <c r="D1" s="1817" t="s">
        <v>70</v>
      </c>
      <c r="E1" s="1818" t="s">
        <v>1385</v>
      </c>
      <c r="F1" s="1280">
        <f ca="1">J53</f>
        <v>29.31</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110070</v>
      </c>
      <c r="C2" s="1842" t="s">
        <v>1515</v>
      </c>
      <c r="D2" s="1842"/>
      <c r="E2" s="1843"/>
      <c r="F2" s="1844"/>
      <c r="G2" s="1845"/>
      <c r="H2" s="1837"/>
      <c r="I2" s="1837"/>
      <c r="J2" s="1837"/>
      <c r="K2" s="1838"/>
      <c r="L2" s="1837"/>
      <c r="M2" s="1837"/>
    </row>
    <row r="3" spans="1:37" ht="18" customHeight="1" thickBot="1">
      <c r="A3" s="1846" t="s">
        <v>1516</v>
      </c>
      <c r="B3" s="1847">
        <f ca="1">IF(ISERROR(B2*10000/F43),0,ROUND(B2*10000/F43,0))</f>
        <v>33338</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6515</v>
      </c>
      <c r="D5" s="1819" t="s">
        <v>1400</v>
      </c>
      <c r="E5" s="1290"/>
      <c r="F5" s="1291"/>
      <c r="G5" s="1848"/>
      <c r="H5" s="343">
        <v>1</v>
      </c>
      <c r="I5" s="344" t="s">
        <v>1399</v>
      </c>
      <c r="J5" s="1289">
        <f ca="1">J6+J10+J12</f>
        <v>10958</v>
      </c>
      <c r="K5" s="1819" t="s">
        <v>1400</v>
      </c>
      <c r="L5" s="1290"/>
      <c r="M5" s="1291"/>
    </row>
    <row r="6" spans="1:37" ht="18" customHeight="1">
      <c r="A6" s="1288" t="s">
        <v>1035</v>
      </c>
      <c r="B6" s="3201" t="s">
        <v>1401</v>
      </c>
      <c r="C6" s="1293">
        <f ca="1">ROUND(F6*F8*F7*(1-F9)/10000,0)</f>
        <v>6507</v>
      </c>
      <c r="D6" s="163" t="s">
        <v>2991</v>
      </c>
      <c r="E6" s="346" t="s">
        <v>1403</v>
      </c>
      <c r="F6" s="347">
        <f ca="1">INDIRECT("'数据-取费表'!u"&amp;$G$1)</f>
        <v>5.4</v>
      </c>
      <c r="G6" s="1848"/>
      <c r="H6" s="1288" t="s">
        <v>1035</v>
      </c>
      <c r="I6" s="3201" t="s">
        <v>1401</v>
      </c>
      <c r="J6" s="345">
        <f ca="1">ROUND(M6*M8*M7*(1-M9)/10000,0)</f>
        <v>10943</v>
      </c>
      <c r="K6" s="163" t="s">
        <v>2990</v>
      </c>
      <c r="L6" s="346" t="s">
        <v>1403</v>
      </c>
      <c r="M6" s="347">
        <f ca="1">INDIRECT("'数据-取费表'!z"&amp;$G$1)</f>
        <v>10.09</v>
      </c>
    </row>
    <row r="7" spans="1:37" ht="18" customHeight="1">
      <c r="A7" s="1292"/>
      <c r="B7" s="3202"/>
      <c r="C7" s="1294"/>
      <c r="D7" s="351"/>
      <c r="E7" s="1295" t="s">
        <v>1404</v>
      </c>
      <c r="F7" s="347">
        <f ca="1">IF(INDIRECT("'数据-取费表'!ah"&amp;$G$1)="",INDIRECT("'数据-取费表'!k"&amp;$G$1),INDIRECT("'数据-取费表'!ah"&amp;$G$1))</f>
        <v>33016.050000000003</v>
      </c>
      <c r="G7" s="1848"/>
      <c r="H7" s="348"/>
      <c r="I7" s="3202"/>
      <c r="J7" s="350"/>
      <c r="K7" s="351"/>
      <c r="L7" s="346" t="s">
        <v>1404</v>
      </c>
      <c r="M7" s="347">
        <f ca="1">F7</f>
        <v>33016.050000000003</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v>
      </c>
      <c r="G9" s="1848"/>
      <c r="H9" s="348"/>
      <c r="I9" s="3203"/>
      <c r="J9" s="350"/>
      <c r="K9" s="351"/>
      <c r="L9" s="357" t="s">
        <v>1406</v>
      </c>
      <c r="M9" s="358">
        <f ca="1">INDIRECT("'数据-取费表'!ab"&amp;$G$1)</f>
        <v>0.1</v>
      </c>
    </row>
    <row r="10" spans="1:37" ht="18" customHeight="1">
      <c r="A10" s="1288" t="s">
        <v>1039</v>
      </c>
      <c r="B10" s="1820" t="s">
        <v>1407</v>
      </c>
      <c r="C10" s="360">
        <f ca="1">ROUND(IF(F10="押一",F6*F8*F7/12*F11,IF(F10="押二",F6*F8*F7/12*2*F11,IF(F10="押三",F6*F8*F7/12*3*F11,C11*F11)))/10000,0)</f>
        <v>8</v>
      </c>
      <c r="D10" s="1821" t="s">
        <v>2992</v>
      </c>
      <c r="E10" s="357" t="s">
        <v>1409</v>
      </c>
      <c r="F10" s="1363" t="s">
        <v>3037</v>
      </c>
      <c r="G10" s="1848"/>
      <c r="H10" s="1288" t="s">
        <v>1039</v>
      </c>
      <c r="I10" s="1820" t="s">
        <v>1407</v>
      </c>
      <c r="J10" s="345">
        <f ca="1">ROUND(IF(M10="押一",M6*M8*M7/12*M11,IF(M10="押二",M6*M8*M7/12*2*M11,IF(M10="押三",M6*M8*M7/12*3*M11,J11*M11)))/10000,0)</f>
        <v>15</v>
      </c>
      <c r="K10" s="1821" t="s">
        <v>2993</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20125</v>
      </c>
      <c r="D13" s="1328" t="s">
        <v>1414</v>
      </c>
      <c r="E13" s="1328" t="s">
        <v>1415</v>
      </c>
      <c r="F13" s="1329">
        <f ca="1">INDIRECT("'数据-取费表'!y"&amp;$G$1)</f>
        <v>0.83</v>
      </c>
      <c r="G13" s="1848"/>
      <c r="H13" s="1326">
        <v>2</v>
      </c>
      <c r="I13" s="1327" t="s">
        <v>1413</v>
      </c>
      <c r="J13" s="1287">
        <f ca="1">ROUND(J14*J15,0)</f>
        <v>12608</v>
      </c>
      <c r="K13" s="1334" t="s">
        <v>1414</v>
      </c>
      <c r="L13" s="1849"/>
      <c r="M13" s="1850"/>
    </row>
    <row r="14" spans="1:37" ht="18" customHeight="1">
      <c r="A14" s="1198" t="s">
        <v>1034</v>
      </c>
      <c r="B14" s="346" t="s">
        <v>1416</v>
      </c>
      <c r="C14" s="362">
        <f ca="1">INDIRECT("'数据-取费表'!m"&amp;$G$1)+INDIRECT("'数据-取费表'!t"&amp;$G$1)</f>
        <v>15114</v>
      </c>
      <c r="D14" s="1797" t="s">
        <v>1417</v>
      </c>
      <c r="E14" s="1791"/>
      <c r="F14" s="363"/>
      <c r="G14" s="1848"/>
      <c r="H14" s="1198" t="s">
        <v>1035</v>
      </c>
      <c r="I14" s="346" t="s">
        <v>1418</v>
      </c>
      <c r="J14" s="24">
        <f ca="1">C29</f>
        <v>24247</v>
      </c>
      <c r="K14" s="15"/>
      <c r="L14" s="976"/>
      <c r="M14" s="977"/>
    </row>
    <row r="15" spans="1:37" s="1855" customFormat="1" ht="18" customHeight="1" thickBot="1">
      <c r="A15" s="1198" t="s">
        <v>1036</v>
      </c>
      <c r="B15" s="346" t="s">
        <v>1419</v>
      </c>
      <c r="C15" s="24">
        <f ca="1">ROUND(C14*F15,0)</f>
        <v>453</v>
      </c>
      <c r="D15" s="364" t="s">
        <v>1420</v>
      </c>
      <c r="E15" s="364" t="s">
        <v>1421</v>
      </c>
      <c r="F15" s="365">
        <f>'数据-取费表'!B33</f>
        <v>0.03</v>
      </c>
      <c r="G15" s="1851"/>
      <c r="H15" s="1336" t="s">
        <v>1039</v>
      </c>
      <c r="I15" s="1337" t="s">
        <v>1415</v>
      </c>
      <c r="J15" s="1346">
        <f ca="1">INDIRECT("'数据-取费表'!ad"&amp;$G$1)</f>
        <v>0.52</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2636</v>
      </c>
      <c r="K16" s="1334" t="s">
        <v>1424</v>
      </c>
      <c r="L16" s="1335"/>
      <c r="M16" s="1291"/>
    </row>
    <row r="17" spans="1:37" s="1855" customFormat="1" ht="18" customHeight="1">
      <c r="A17" s="1198" t="s">
        <v>1388</v>
      </c>
      <c r="B17" s="346" t="s">
        <v>1425</v>
      </c>
      <c r="C17" s="24">
        <f ca="1">ROUND(F17*(F43+INDIRECT("'数据-取费表'!S"&amp;$G$1))/10000,0)</f>
        <v>677</v>
      </c>
      <c r="D17" s="346" t="s">
        <v>1426</v>
      </c>
      <c r="E17" s="346" t="s">
        <v>1427</v>
      </c>
      <c r="F17" s="26">
        <f>'数据-取费表'!B35</f>
        <v>200</v>
      </c>
      <c r="G17" s="1851"/>
      <c r="H17" s="1198" t="s">
        <v>1035</v>
      </c>
      <c r="I17" s="346" t="s">
        <v>1428</v>
      </c>
      <c r="J17" s="24">
        <f ca="1">ROUND(IF(项目基本情况!B11="自然人",J5*M17,J18+J19+J20),1)</f>
        <v>1906.9</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227</v>
      </c>
      <c r="D18" s="346" t="s">
        <v>1420</v>
      </c>
      <c r="E18" s="346" t="s">
        <v>1421</v>
      </c>
      <c r="F18" s="366">
        <f>'数据-取费表'!B36</f>
        <v>1.4999999999999999E-2</v>
      </c>
      <c r="G18" s="1851"/>
      <c r="H18" s="1198" t="s">
        <v>1034</v>
      </c>
      <c r="I18" s="346" t="s">
        <v>1432</v>
      </c>
      <c r="J18" s="24">
        <f ca="1">ROUND(J5*M18/(1+'数据-取费表'!C42),2)</f>
        <v>584.42999999999995</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16471</v>
      </c>
      <c r="D19" s="139" t="s">
        <v>1435</v>
      </c>
      <c r="E19" s="1815"/>
      <c r="F19" s="26"/>
      <c r="G19" s="1848"/>
      <c r="H19" s="1198" t="s">
        <v>1036</v>
      </c>
      <c r="I19" s="346" t="s">
        <v>1436</v>
      </c>
      <c r="J19" s="24">
        <f ca="1">IF(K19="按租金收入计税",ROUND(J5*M19,2),ROUND(C29*M19*0.7,2))</f>
        <v>1314.96</v>
      </c>
      <c r="K19" s="1825" t="s">
        <v>3145</v>
      </c>
      <c r="L19" s="346" t="s">
        <v>1421</v>
      </c>
      <c r="M19" s="366">
        <f>IF(K19="按租金收入计税",'数据-取费表'!B51,'数据-取费表'!B50)</f>
        <v>0.12</v>
      </c>
    </row>
    <row r="20" spans="1:37" s="1855" customFormat="1" ht="18" customHeight="1">
      <c r="A20" s="1198" t="s">
        <v>1039</v>
      </c>
      <c r="B20" s="346" t="s">
        <v>1438</v>
      </c>
      <c r="C20" s="24">
        <f ca="1">ROUND(C19*F20,0)</f>
        <v>494</v>
      </c>
      <c r="D20" s="368" t="s">
        <v>1439</v>
      </c>
      <c r="E20" s="346" t="s">
        <v>1421</v>
      </c>
      <c r="F20" s="366">
        <f>'数据-取费表'!B37</f>
        <v>0.03</v>
      </c>
      <c r="G20" s="1851"/>
      <c r="H20" s="1198" t="s">
        <v>1387</v>
      </c>
      <c r="I20" s="163" t="s">
        <v>1440</v>
      </c>
      <c r="J20" s="25">
        <f ca="1">ROUND(M20*M21/10000,2)</f>
        <v>7.51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6261.4100000000008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f ca="1">ROUND(J14*M22,1)</f>
        <v>484.9</v>
      </c>
      <c r="K22" s="1795"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805</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25.2</v>
      </c>
      <c r="K23" s="1795" t="s">
        <v>1453</v>
      </c>
      <c r="L23" s="346" t="s">
        <v>1454</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f ca="1">ROUND(J5*M24,1)</f>
        <v>219.2</v>
      </c>
      <c r="K24" s="1339" t="s">
        <v>1458</v>
      </c>
      <c r="L24" s="1337" t="s">
        <v>1454</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1815"/>
      <c r="F25" s="26"/>
      <c r="G25" s="1848"/>
      <c r="H25" s="1326" t="s">
        <v>1031</v>
      </c>
      <c r="I25" s="1341" t="s">
        <v>1462</v>
      </c>
      <c r="J25" s="354">
        <f ca="1">J5-J16</f>
        <v>8322</v>
      </c>
      <c r="K25" s="1342" t="s">
        <v>1463</v>
      </c>
      <c r="L25" s="1343"/>
      <c r="M25" s="1344"/>
    </row>
    <row r="26" spans="1:37">
      <c r="A26" s="1198" t="s">
        <v>1034</v>
      </c>
      <c r="B26" s="346" t="s">
        <v>1464</v>
      </c>
      <c r="C26" s="24">
        <f ca="1">ROUND((C19+C20)*F26,0)</f>
        <v>4241</v>
      </c>
      <c r="D26" s="368" t="s">
        <v>1465</v>
      </c>
      <c r="E26" s="357" t="s">
        <v>1466</v>
      </c>
      <c r="F26" s="356">
        <f ca="1">INDIRECT("'数据-取费表'!q"&amp;$G$1)</f>
        <v>0.25</v>
      </c>
      <c r="G26" s="1848"/>
      <c r="H26" s="343" t="s">
        <v>1032</v>
      </c>
      <c r="I26" s="344" t="s">
        <v>1467</v>
      </c>
      <c r="J26" s="345">
        <f ca="1">IF(J5&lt;&gt;0,ROUND(J25*(1-((1+M28)/(1+M26))^M27)/(M26-M28),0),0)</f>
        <v>129060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18.489999999999998</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0.04</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24247</v>
      </c>
      <c r="D29" s="1339"/>
      <c r="E29" s="1337"/>
      <c r="F29" s="1340"/>
      <c r="G29" s="1851"/>
      <c r="H29" s="379" t="s">
        <v>1033</v>
      </c>
      <c r="I29" s="380" t="s">
        <v>1478</v>
      </c>
      <c r="J29" s="381">
        <f ca="1">ROUND(J26/(1+F40)^F41,0)</f>
        <v>72310</v>
      </c>
      <c r="K29" s="382" t="s">
        <v>1479</v>
      </c>
      <c r="L29" s="383"/>
      <c r="M29" s="384">
        <f ca="1">INDIRECT("'数据-取费表'!k"&amp;$G$1)</f>
        <v>33016.050000000003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1792</v>
      </c>
      <c r="D30" s="1334" t="s">
        <v>1424</v>
      </c>
      <c r="E30" s="1335"/>
      <c r="F30" s="1291"/>
      <c r="G30" s="1848"/>
      <c r="H30" s="744"/>
      <c r="I30" s="745"/>
      <c r="J30" s="746"/>
      <c r="K30" s="747"/>
      <c r="L30" s="748"/>
      <c r="M30" s="749"/>
    </row>
    <row r="31" spans="1:37" ht="18" customHeight="1">
      <c r="A31" s="1198" t="s">
        <v>1035</v>
      </c>
      <c r="B31" s="346" t="s">
        <v>1428</v>
      </c>
      <c r="C31" s="24">
        <f ca="1">ROUND(IF(项目基本情况!B11="自然人",C5*F31,C32+C33+C34),1)</f>
        <v>1136.8</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347.47</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781.8</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7.51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6261.4100000000008</v>
      </c>
      <c r="G35" s="1848"/>
      <c r="H35" s="744"/>
      <c r="I35" s="1857"/>
      <c r="J35" s="1858"/>
      <c r="K35" s="1859"/>
      <c r="L35" s="1856"/>
      <c r="M35" s="1856"/>
    </row>
    <row r="36" spans="1:18" ht="18" customHeight="1">
      <c r="A36" s="1349" t="s">
        <v>1039</v>
      </c>
      <c r="B36" s="346" t="s">
        <v>1448</v>
      </c>
      <c r="C36" s="24">
        <f ca="1">ROUND(C29*F36,1)</f>
        <v>484.9</v>
      </c>
      <c r="D36" s="1795"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40.299999999999997</v>
      </c>
      <c r="D37" s="1795" t="s">
        <v>1453</v>
      </c>
      <c r="E37" s="346" t="s">
        <v>1454</v>
      </c>
      <c r="F37" s="375">
        <f ca="1">INDIRECT("'数据-取费表'!Al"&amp;$G$1)</f>
        <v>2E-3</v>
      </c>
      <c r="G37" s="1848"/>
      <c r="H37" s="1856"/>
      <c r="I37" s="1857"/>
      <c r="J37" s="1858"/>
      <c r="K37" s="750"/>
      <c r="L37" s="1856"/>
      <c r="M37" s="1856"/>
    </row>
    <row r="38" spans="1:18" ht="18" customHeight="1" thickBot="1">
      <c r="A38" s="1336" t="s">
        <v>1391</v>
      </c>
      <c r="B38" s="1337" t="s">
        <v>1438</v>
      </c>
      <c r="C38" s="1338">
        <f ca="1">ROUND(C5*F38,1)</f>
        <v>130.30000000000001</v>
      </c>
      <c r="D38" s="1339" t="s">
        <v>1458</v>
      </c>
      <c r="E38" s="1337" t="s">
        <v>1454</v>
      </c>
      <c r="F38" s="1333">
        <f ca="1">INDIRECT("'数据-取费表'!Am"&amp;$G$1)</f>
        <v>0.02</v>
      </c>
      <c r="G38" s="1848"/>
      <c r="H38" s="1856"/>
      <c r="I38" s="1857"/>
      <c r="J38" s="1858"/>
      <c r="K38" s="1862"/>
      <c r="L38" s="1856"/>
      <c r="M38" s="1856"/>
    </row>
    <row r="39" spans="1:18" ht="24.6" customHeight="1" thickTop="1">
      <c r="A39" s="1326" t="s">
        <v>1031</v>
      </c>
      <c r="B39" s="1341" t="s">
        <v>1482</v>
      </c>
      <c r="C39" s="354">
        <f ca="1">C5-C30</f>
        <v>4723</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37760</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10.82</v>
      </c>
      <c r="G41" s="1848"/>
      <c r="H41" s="731"/>
      <c r="I41" s="1857"/>
      <c r="J41" s="1858"/>
      <c r="K41" s="750"/>
      <c r="L41" s="731"/>
      <c r="M41" s="731"/>
    </row>
    <row r="42" spans="1:18" ht="18" customHeight="1">
      <c r="A42" s="352"/>
      <c r="B42" s="353"/>
      <c r="C42" s="354"/>
      <c r="D42" s="372"/>
      <c r="E42" s="346" t="s">
        <v>1476</v>
      </c>
      <c r="F42" s="356">
        <f ca="1">INDIRECT("'数据-取费表'!v"&amp;$G$1)</f>
        <v>0</v>
      </c>
      <c r="G42" s="1848"/>
      <c r="H42" s="731"/>
      <c r="I42" s="1857"/>
      <c r="J42" s="1858"/>
      <c r="K42" s="750"/>
      <c r="L42" s="731"/>
      <c r="M42" s="731"/>
    </row>
    <row r="43" spans="1:18" ht="18" customHeight="1" thickBot="1">
      <c r="A43" s="379" t="s">
        <v>1033</v>
      </c>
      <c r="B43" s="380" t="s">
        <v>1486</v>
      </c>
      <c r="C43" s="381">
        <f ca="1">ROUND(C40*10000/F43,0)</f>
        <v>11437</v>
      </c>
      <c r="D43" s="382" t="s">
        <v>1487</v>
      </c>
      <c r="E43" s="383" t="s">
        <v>1488</v>
      </c>
      <c r="F43" s="384">
        <f ca="1">INDIRECT("'数据-取费表'!k"&amp;$G$1)</f>
        <v>33016.050000000003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-58307</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110070</v>
      </c>
      <c r="R47" s="1883" t="s">
        <v>1528</v>
      </c>
    </row>
    <row r="48" spans="1:18" s="1839" customFormat="1" ht="28.5" thickBot="1">
      <c r="A48" s="1357" t="s">
        <v>1135</v>
      </c>
      <c r="B48" s="344" t="s">
        <v>1399</v>
      </c>
      <c r="C48" s="1814">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2994</v>
      </c>
      <c r="E49" s="1827" t="s">
        <v>1490</v>
      </c>
      <c r="F49" s="1278"/>
      <c r="G49" s="1888"/>
      <c r="H49" s="792"/>
      <c r="I49" s="1884" t="s">
        <v>1533</v>
      </c>
      <c r="J49" s="1889">
        <v>2008</v>
      </c>
      <c r="K49" s="1886" t="s">
        <v>1534</v>
      </c>
      <c r="L49" s="1890"/>
      <c r="O49" s="1891" t="s">
        <v>1042</v>
      </c>
      <c r="P49" s="1882" t="s">
        <v>1535</v>
      </c>
      <c r="Q49" s="1883">
        <f ca="1">C29</f>
        <v>24247</v>
      </c>
      <c r="R49" s="1883" t="s">
        <v>1528</v>
      </c>
    </row>
    <row r="50" spans="1:18" s="1839" customFormat="1" ht="13.5" thickBot="1">
      <c r="A50" s="1192"/>
      <c r="B50" s="1195"/>
      <c r="C50" s="1365"/>
      <c r="D50" s="1169"/>
      <c r="E50" s="1274" t="s">
        <v>1404</v>
      </c>
      <c r="F50" s="1275">
        <f ca="1">F7</f>
        <v>33016.050000000003</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48517</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2992</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110070</v>
      </c>
      <c r="R53" s="1883" t="s">
        <v>1047</v>
      </c>
    </row>
    <row r="54" spans="1:18" s="1839" customFormat="1" ht="13.5" thickBot="1">
      <c r="A54" s="1403"/>
      <c r="B54" s="1822" t="s">
        <v>1386</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20125</v>
      </c>
      <c r="D56" s="1911"/>
      <c r="E56" s="1912"/>
      <c r="F56" s="1904"/>
      <c r="I56" s="1913" t="s">
        <v>1553</v>
      </c>
      <c r="J56" s="1914" t="s">
        <v>3019</v>
      </c>
      <c r="K56" s="1884" t="s">
        <v>1554</v>
      </c>
      <c r="L56" s="1887" t="str">
        <f ca="1">IF(L48&lt;J51,"——",L48-J53)</f>
        <v>——</v>
      </c>
      <c r="O56" s="1881" t="s">
        <v>1040</v>
      </c>
      <c r="P56" s="1882" t="s">
        <v>1527</v>
      </c>
      <c r="Q56" s="1883">
        <f ca="1">C40+J29</f>
        <v>110070</v>
      </c>
      <c r="R56" s="1883" t="s">
        <v>1528</v>
      </c>
    </row>
    <row r="57" spans="1:18" s="1839" customFormat="1" ht="24.75" thickBot="1">
      <c r="A57" s="1915"/>
      <c r="B57" s="1166" t="s">
        <v>1477</v>
      </c>
      <c r="C57" s="281">
        <f ca="1">C29</f>
        <v>24247</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2570</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2044.3</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1492</v>
      </c>
      <c r="C61" s="24">
        <f ca="1">IF(项目基本情况!B11="自然人","——",IF(D61="按租金收入计税",ROUND(C48*F61,2),IF(D61="按房产原值计税",ROUND(C57*F61*0.7,2),INDIRECT("'数据-取费表'!Aj"&amp;$G$1))))</f>
        <v>2036.75</v>
      </c>
      <c r="D61" s="1825" t="s">
        <v>1437</v>
      </c>
      <c r="E61" s="1166" t="s">
        <v>1493</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1495</v>
      </c>
      <c r="C62" s="25">
        <f ca="1">IF(项目基本情况!B11="自然人","——",ROUND(F62*F63/10000,2))</f>
        <v>7.51</v>
      </c>
      <c r="D62" s="1181" t="s">
        <v>1496</v>
      </c>
      <c r="E62" s="1166" t="s">
        <v>1497</v>
      </c>
      <c r="F62" s="370">
        <f t="shared" si="0"/>
        <v>12</v>
      </c>
      <c r="I62" s="1926" t="s">
        <v>1569</v>
      </c>
      <c r="J62" s="1927" t="s">
        <v>1570</v>
      </c>
      <c r="K62" s="1927" t="s">
        <v>1571</v>
      </c>
      <c r="L62" s="1927" t="s">
        <v>1572</v>
      </c>
      <c r="M62" s="1928" t="s">
        <v>1573</v>
      </c>
      <c r="O62" s="1881" t="s">
        <v>1046</v>
      </c>
      <c r="P62" s="1882" t="s">
        <v>1574</v>
      </c>
      <c r="Q62" s="1883">
        <f ca="1">Q56+Q57</f>
        <v>110070</v>
      </c>
      <c r="R62" s="1883" t="s">
        <v>1047</v>
      </c>
    </row>
    <row r="63" spans="1:18" s="1839" customFormat="1" ht="13.5" thickBot="1">
      <c r="A63" s="371"/>
      <c r="B63" s="1172"/>
      <c r="C63" s="29"/>
      <c r="D63" s="1182"/>
      <c r="E63" s="1166" t="s">
        <v>1498</v>
      </c>
      <c r="F63" s="347">
        <f t="shared" ca="1" si="0"/>
        <v>6261.4100000000008</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f ca="1">ROUND(C57*F64,1)</f>
        <v>484.9</v>
      </c>
      <c r="D64" s="1180" t="s">
        <v>1501</v>
      </c>
      <c r="E64" s="1166" t="s">
        <v>1493</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40.299999999999997</v>
      </c>
      <c r="D65" s="1180" t="s">
        <v>1453</v>
      </c>
      <c r="E65" s="1166" t="s">
        <v>1454</v>
      </c>
      <c r="F65" s="375">
        <f t="shared" ca="1" si="0"/>
        <v>2E-3</v>
      </c>
      <c r="I65" s="1926" t="s">
        <v>1578</v>
      </c>
      <c r="J65" s="1927">
        <v>40</v>
      </c>
      <c r="K65" s="1927">
        <v>30</v>
      </c>
      <c r="L65" s="1927">
        <v>50</v>
      </c>
      <c r="M65" s="1929">
        <v>0.02</v>
      </c>
      <c r="O65" s="1881" t="s">
        <v>1040</v>
      </c>
      <c r="P65" s="1882" t="s">
        <v>1579</v>
      </c>
      <c r="Q65" s="1883">
        <f ca="1">C40+J29</f>
        <v>110070</v>
      </c>
      <c r="R65" s="1883" t="s">
        <v>1528</v>
      </c>
    </row>
    <row r="66" spans="1:18" s="1839" customFormat="1" ht="16.5" thickBot="1">
      <c r="A66" s="1198" t="s">
        <v>1503</v>
      </c>
      <c r="B66" s="1166" t="s">
        <v>1438</v>
      </c>
      <c r="C66" s="24">
        <f ca="1">ROUND(C48*F66,1)</f>
        <v>0</v>
      </c>
      <c r="D66" s="1180" t="s">
        <v>1504</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-2570</v>
      </c>
      <c r="D67" s="1179" t="s">
        <v>1463</v>
      </c>
      <c r="E67" s="1184"/>
      <c r="F67" s="1185"/>
      <c r="O67" s="1891" t="s">
        <v>1042</v>
      </c>
      <c r="P67" s="1882" t="s">
        <v>1561</v>
      </c>
      <c r="Q67" s="1930">
        <f ca="1">L51</f>
        <v>48517</v>
      </c>
      <c r="R67" s="1883" t="s">
        <v>1581</v>
      </c>
    </row>
    <row r="68" spans="1:18" s="1839" customFormat="1" ht="16.5" thickBot="1">
      <c r="A68" s="1163" t="s">
        <v>1032</v>
      </c>
      <c r="B68" s="1164" t="s">
        <v>1484</v>
      </c>
      <c r="C68" s="345">
        <f ca="1">ROUND(C67*(1-((1+F70)/(1+F68))^F69)/(F68-F70),0)</f>
        <v>-20547</v>
      </c>
      <c r="D68" s="1181" t="s">
        <v>1468</v>
      </c>
      <c r="E68" s="1166" t="s">
        <v>1469</v>
      </c>
      <c r="F68" s="356">
        <f ca="1">F40</f>
        <v>5.5E-2</v>
      </c>
      <c r="O68" s="1891" t="s">
        <v>1043</v>
      </c>
      <c r="P68" s="1931" t="s">
        <v>1582</v>
      </c>
      <c r="Q68" s="1883">
        <f ca="1">ROUND(Q69-Q70*Q71,0)</f>
        <v>3012</v>
      </c>
      <c r="R68" s="1883" t="s">
        <v>1051</v>
      </c>
    </row>
    <row r="69" spans="1:18" s="1839" customFormat="1" ht="13.5" thickBot="1">
      <c r="A69" s="1167"/>
      <c r="B69" s="1168"/>
      <c r="C69" s="350"/>
      <c r="D69" s="1186" t="s">
        <v>1472</v>
      </c>
      <c r="E69" s="1166" t="s">
        <v>1473</v>
      </c>
      <c r="F69" s="378">
        <f ca="1">F41</f>
        <v>10.82</v>
      </c>
      <c r="O69" s="1891" t="s">
        <v>1048</v>
      </c>
      <c r="P69" s="1931" t="s">
        <v>1583</v>
      </c>
      <c r="Q69" s="1883">
        <f ca="1">C39</f>
        <v>4723</v>
      </c>
      <c r="R69" s="1883" t="s">
        <v>1528</v>
      </c>
    </row>
    <row r="70" spans="1:18" s="1839" customFormat="1" ht="13.5" thickBot="1">
      <c r="A70" s="1170"/>
      <c r="B70" s="1171"/>
      <c r="C70" s="354"/>
      <c r="D70" s="1182"/>
      <c r="E70" s="1166" t="s">
        <v>1476</v>
      </c>
      <c r="F70" s="1272"/>
      <c r="O70" s="1891" t="s">
        <v>1049</v>
      </c>
      <c r="P70" s="1931" t="s">
        <v>1584</v>
      </c>
      <c r="Q70" s="1883">
        <f ca="1">C13</f>
        <v>20125</v>
      </c>
      <c r="R70" s="1883" t="s">
        <v>1528</v>
      </c>
    </row>
    <row r="71" spans="1:18" s="1839" customFormat="1" ht="13.5" thickBot="1">
      <c r="A71" s="1187" t="s">
        <v>1033</v>
      </c>
      <c r="B71" s="1188" t="s">
        <v>1486</v>
      </c>
      <c r="C71" s="381">
        <f ca="1">ROUND(C68*10000/F71,0)</f>
        <v>-6223</v>
      </c>
      <c r="D71" s="1189" t="s">
        <v>1487</v>
      </c>
      <c r="E71" s="1190" t="s">
        <v>1488</v>
      </c>
      <c r="F71" s="384">
        <f ca="1">F43</f>
        <v>33016.050000000003</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1711</v>
      </c>
      <c r="D75" s="1839"/>
      <c r="E75" s="1839"/>
      <c r="F75" s="1839"/>
      <c r="K75" s="1865"/>
      <c r="L75" s="1839"/>
      <c r="O75" s="1881" t="s">
        <v>1046</v>
      </c>
      <c r="P75" s="1882" t="s">
        <v>1548</v>
      </c>
      <c r="Q75" s="1883">
        <f ca="1">Q65+Q66</f>
        <v>110070</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0.63800000000000001</v>
      </c>
    </row>
    <row r="80" spans="1:18">
      <c r="B80" s="385" t="s">
        <v>1510</v>
      </c>
      <c r="C80" s="317">
        <f ca="1">ROUND(C75/C39,3)</f>
        <v>0.36199999999999999</v>
      </c>
    </row>
    <row r="81" spans="2:3">
      <c r="B81" s="313" t="s">
        <v>1511</v>
      </c>
      <c r="C81" s="281"/>
    </row>
    <row r="82" spans="2:3">
      <c r="B82" s="316" t="s">
        <v>1512</v>
      </c>
      <c r="C82" s="318">
        <f ca="1">1-C83</f>
        <v>0.46699999999999997</v>
      </c>
    </row>
    <row r="83" spans="2:3">
      <c r="B83" s="316" t="s">
        <v>1513</v>
      </c>
      <c r="C83" s="317">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9" sqref="J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3052</v>
      </c>
      <c r="D1" s="1817" t="s">
        <v>70</v>
      </c>
      <c r="E1" s="1818" t="s">
        <v>1385</v>
      </c>
      <c r="F1" s="1280"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3"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t="e">
        <f ca="1">C6+C10+C12</f>
        <v>#N/A</v>
      </c>
      <c r="D5" s="1819" t="s">
        <v>1600</v>
      </c>
      <c r="E5" s="1290"/>
      <c r="F5" s="1291"/>
      <c r="G5" s="1848"/>
      <c r="H5" s="343">
        <v>1</v>
      </c>
      <c r="I5" s="344" t="s">
        <v>1599</v>
      </c>
      <c r="J5" s="1289" t="e">
        <f ca="1">J6+J10+J12</f>
        <v>#N/A</v>
      </c>
      <c r="K5" s="1819" t="s">
        <v>1600</v>
      </c>
      <c r="L5" s="1290"/>
      <c r="M5" s="1291"/>
    </row>
    <row r="6" spans="1:37" ht="18" customHeight="1">
      <c r="A6" s="1288" t="s">
        <v>1035</v>
      </c>
      <c r="B6" s="3201" t="s">
        <v>1401</v>
      </c>
      <c r="C6" s="1293" t="e">
        <f ca="1">ROUND(F6*F8*F7*(1-F9),0)</f>
        <v>#N/A</v>
      </c>
      <c r="D6" s="163" t="s">
        <v>2986</v>
      </c>
      <c r="E6" s="346" t="s">
        <v>1403</v>
      </c>
      <c r="F6" s="347" t="e">
        <f ca="1">INDIRECT("'数据-取费表'!u"&amp;$G$1)</f>
        <v>#N/A</v>
      </c>
      <c r="G6" s="1848"/>
      <c r="H6" s="1288" t="s">
        <v>1035</v>
      </c>
      <c r="I6" s="3201" t="s">
        <v>1401</v>
      </c>
      <c r="J6" s="345" t="e">
        <f ca="1">ROUND(M6*M8*M7*(1-M9),0)</f>
        <v>#N/A</v>
      </c>
      <c r="K6" s="1831" t="s">
        <v>2989</v>
      </c>
      <c r="L6" s="346" t="s">
        <v>1403</v>
      </c>
      <c r="M6" s="347" t="e">
        <f ca="1">INDIRECT("'数据-取费表'!z"&amp;$G$1)</f>
        <v>#N/A</v>
      </c>
    </row>
    <row r="7" spans="1:37" ht="18" customHeight="1">
      <c r="A7" s="1292"/>
      <c r="B7" s="3202"/>
      <c r="C7" s="1294"/>
      <c r="D7" s="351"/>
      <c r="E7" s="1295" t="s">
        <v>1404</v>
      </c>
      <c r="F7" s="347" t="e">
        <f ca="1">IF(INDIRECT("'数据-取费表'!ah"&amp;$G$1)="",INDIRECT("'数据-取费表'!k"&amp;$G$1),INDIRECT("'数据-取费表'!ah"&amp;$G$1))</f>
        <v>#N/A</v>
      </c>
      <c r="G7" s="1848"/>
      <c r="H7" s="348"/>
      <c r="I7" s="3202"/>
      <c r="J7" s="350"/>
      <c r="K7" s="351"/>
      <c r="L7" s="346" t="s">
        <v>1404</v>
      </c>
      <c r="M7" s="347" t="e">
        <f ca="1">F7</f>
        <v>#N/A</v>
      </c>
    </row>
    <row r="8" spans="1:37" ht="18" customHeight="1">
      <c r="A8" s="348"/>
      <c r="B8" s="3202"/>
      <c r="C8" s="350"/>
      <c r="D8" s="351"/>
      <c r="E8" s="346" t="s">
        <v>1405</v>
      </c>
      <c r="F8" s="347" t="e">
        <f ca="1">INDIRECT("'数据-取费表'!ai"&amp;$G$1)</f>
        <v>#N/A</v>
      </c>
      <c r="G8" s="1848"/>
      <c r="H8" s="348"/>
      <c r="I8" s="3202"/>
      <c r="J8" s="350"/>
      <c r="K8" s="351"/>
      <c r="L8" s="346" t="s">
        <v>1405</v>
      </c>
      <c r="M8" s="347" t="e">
        <f ca="1">INDIRECT("'数据-取费表'!ai"&amp;$G$1)</f>
        <v>#N/A</v>
      </c>
    </row>
    <row r="9" spans="1:37" ht="18" customHeight="1">
      <c r="A9" s="348"/>
      <c r="B9" s="3203"/>
      <c r="C9" s="350"/>
      <c r="D9" s="351"/>
      <c r="E9" s="346" t="s">
        <v>1406</v>
      </c>
      <c r="F9" s="356" t="e">
        <f ca="1">INDIRECT("'数据-取费表'!w"&amp;$G$1)</f>
        <v>#N/A</v>
      </c>
      <c r="G9" s="1848"/>
      <c r="H9" s="348"/>
      <c r="I9" s="3203"/>
      <c r="J9" s="350"/>
      <c r="K9" s="351"/>
      <c r="L9" s="357" t="s">
        <v>1406</v>
      </c>
      <c r="M9" s="358" t="e">
        <f ca="1">INDIRECT("'数据-取费表'!ab"&amp;$G$1)</f>
        <v>#N/A</v>
      </c>
    </row>
    <row r="10" spans="1:37" ht="18" customHeight="1">
      <c r="A10" s="1288" t="s">
        <v>1039</v>
      </c>
      <c r="B10" s="1820" t="s">
        <v>1407</v>
      </c>
      <c r="C10" s="360" t="e">
        <f ca="1">ROUND(IF(F10="押一",F6*F8*F7/12*F11,IF(F10="押二",F6*F8*F7/12*2*F11,IF(F10="押三",F6*F8*F7/12*3*F11,C11*F11))),0)</f>
        <v>#N/A</v>
      </c>
      <c r="D10" s="1821" t="s">
        <v>2987</v>
      </c>
      <c r="E10" s="357" t="s">
        <v>1409</v>
      </c>
      <c r="F10" s="1363" t="s">
        <v>3037</v>
      </c>
      <c r="G10" s="1848"/>
      <c r="H10" s="1288" t="s">
        <v>1039</v>
      </c>
      <c r="I10" s="1820" t="s">
        <v>1407</v>
      </c>
      <c r="J10" s="345">
        <f ca="1">ROUND(IF(M10="押一",M6*M8*M7/12*M11,IF(M10="押二",M6*M8*M7/12*2*M11,IF(M10="押三",M6*M8*M7/12*3*M11,J11*M11))),0)</f>
        <v>0</v>
      </c>
      <c r="K10" s="1832" t="s">
        <v>2988</v>
      </c>
      <c r="L10" s="357" t="s">
        <v>1409</v>
      </c>
      <c r="M10" s="1363"/>
    </row>
    <row r="11" spans="1:37" ht="18" customHeight="1">
      <c r="A11" s="352"/>
      <c r="B11" s="1822" t="s">
        <v>1601</v>
      </c>
      <c r="C11" s="1175"/>
      <c r="D11" s="351"/>
      <c r="E11" s="357" t="s">
        <v>1411</v>
      </c>
      <c r="F11" s="358">
        <f ca="1">'数据-取费表'!B39</f>
        <v>1.4999999999999999E-2</v>
      </c>
      <c r="G11" s="1848"/>
      <c r="H11" s="1296"/>
      <c r="I11" s="1822" t="s">
        <v>1602</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8"/>
      <c r="H13" s="1326">
        <v>2</v>
      </c>
      <c r="I13" s="1327" t="s">
        <v>1413</v>
      </c>
      <c r="J13" s="1287" t="e">
        <f ca="1">ROUND(J14*J15,0)</f>
        <v>#N/A</v>
      </c>
      <c r="K13" s="1334" t="s">
        <v>1414</v>
      </c>
      <c r="L13" s="1849"/>
      <c r="M13" s="1850"/>
    </row>
    <row r="14" spans="1:37" ht="18" customHeight="1">
      <c r="A14" s="1198" t="s">
        <v>1034</v>
      </c>
      <c r="B14" s="346" t="s">
        <v>1416</v>
      </c>
      <c r="C14" s="362" t="e">
        <f ca="1">ROUND(INDIRECT("'数据-取费表'!l"&amp;$G$1)*F43+'数据-取费表'!L14*INDIRECT("'数据-取费表'!S"&amp;$G$1),0)</f>
        <v>#N/A</v>
      </c>
      <c r="D14" s="1797" t="s">
        <v>1417</v>
      </c>
      <c r="E14" s="1791"/>
      <c r="F14" s="363"/>
      <c r="G14" s="1848"/>
      <c r="H14" s="1198" t="s">
        <v>1035</v>
      </c>
      <c r="I14" s="346" t="s">
        <v>1418</v>
      </c>
      <c r="J14" s="24" t="e">
        <f ca="1">C29</f>
        <v>#N/A</v>
      </c>
      <c r="K14" s="15"/>
      <c r="L14" s="976"/>
      <c r="M14" s="977"/>
    </row>
    <row r="15" spans="1:37" s="1855" customFormat="1" ht="18" customHeight="1" thickBot="1">
      <c r="A15" s="1198" t="s">
        <v>1036</v>
      </c>
      <c r="B15" s="346" t="s">
        <v>1419</v>
      </c>
      <c r="C15" s="24" t="e">
        <f ca="1">ROUND(C14*F15,0)</f>
        <v>#N/A</v>
      </c>
      <c r="D15" s="364" t="s">
        <v>1420</v>
      </c>
      <c r="E15" s="364" t="s">
        <v>1421</v>
      </c>
      <c r="F15" s="365">
        <f>'数据-取费表'!B33</f>
        <v>0.03</v>
      </c>
      <c r="G15" s="1851"/>
      <c r="H15" s="1336" t="s">
        <v>1039</v>
      </c>
      <c r="I15" s="1337" t="s">
        <v>1415</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t="e">
        <f ca="1">ROUND(INDIRECT("'数据-取费表'!l"&amp;$G$1)*F43*F16,0)</f>
        <v>#N/A</v>
      </c>
      <c r="D16" s="346" t="s">
        <v>1420</v>
      </c>
      <c r="E16" s="346" t="s">
        <v>1421</v>
      </c>
      <c r="F16" s="366" t="e">
        <f ca="1">IF(INDIRECT("'数据-取费表'!c"&amp;$G$1)="住宅",'数据-取费表'!B34,0)</f>
        <v>#N/A</v>
      </c>
      <c r="G16" s="1848"/>
      <c r="H16" s="1326" t="s">
        <v>1030</v>
      </c>
      <c r="I16" s="1327" t="s">
        <v>1423</v>
      </c>
      <c r="J16" s="354" t="e">
        <f ca="1">ROUND(J17+J22+J23+J24,0)</f>
        <v>#N/A</v>
      </c>
      <c r="K16" s="1334" t="s">
        <v>1424</v>
      </c>
      <c r="L16" s="1335"/>
      <c r="M16" s="1291"/>
    </row>
    <row r="17" spans="1:37" s="1855" customFormat="1" ht="18" customHeight="1">
      <c r="A17" s="1198" t="s">
        <v>1388</v>
      </c>
      <c r="B17" s="346" t="s">
        <v>1425</v>
      </c>
      <c r="C17" s="24" t="e">
        <f ca="1">ROUND(F17*(F43+INDIRECT("'数据-取费表'!S"&amp;$G$1)),0)</f>
        <v>#N/A</v>
      </c>
      <c r="D17" s="346" t="s">
        <v>1426</v>
      </c>
      <c r="E17" s="346" t="s">
        <v>1427</v>
      </c>
      <c r="F17" s="26">
        <f>'数据-取费表'!B35</f>
        <v>200</v>
      </c>
      <c r="G17" s="1851"/>
      <c r="H17" s="1198" t="s">
        <v>1035</v>
      </c>
      <c r="I17" s="346" t="s">
        <v>1428</v>
      </c>
      <c r="J17" s="24" t="e">
        <f ca="1">ROUND(IF(项目基本情况!B11="自然人",J5*M17,J18+J19+J20),0)</f>
        <v>#N/A</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t="e">
        <f ca="1">ROUND(C14*F18,0)</f>
        <v>#N/A</v>
      </c>
      <c r="D18" s="346" t="s">
        <v>1420</v>
      </c>
      <c r="E18" s="346" t="s">
        <v>1421</v>
      </c>
      <c r="F18" s="366">
        <f>'数据-取费表'!B36</f>
        <v>1.4999999999999999E-2</v>
      </c>
      <c r="G18" s="1851"/>
      <c r="H18" s="1198" t="s">
        <v>1034</v>
      </c>
      <c r="I18" s="346" t="s">
        <v>1432</v>
      </c>
      <c r="J18" s="24" t="e">
        <f ca="1">ROUND(J5*M18/(1+'数据-取费表'!C42),0)</f>
        <v>#N/A</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t="e">
        <f ca="1">SUM(C14:C18)</f>
        <v>#N/A</v>
      </c>
      <c r="D19" s="139" t="s">
        <v>1435</v>
      </c>
      <c r="E19" s="1815"/>
      <c r="F19" s="26"/>
      <c r="G19" s="1848"/>
      <c r="H19" s="1198" t="s">
        <v>1036</v>
      </c>
      <c r="I19" s="346" t="s">
        <v>1436</v>
      </c>
      <c r="J19" s="24" t="e">
        <f ca="1">IF(K19="按租金收入计税",ROUND(J5*M19,0),ROUND(C29*M19*0.7,0))</f>
        <v>#N/A</v>
      </c>
      <c r="K19" s="1825" t="s">
        <v>1437</v>
      </c>
      <c r="L19" s="346" t="s">
        <v>1421</v>
      </c>
      <c r="M19" s="366">
        <f>IF(K19="按租金收入计税",'数据-取费表'!B51,'数据-取费表'!B50)</f>
        <v>1.2E-2</v>
      </c>
    </row>
    <row r="20" spans="1:37" s="1855" customFormat="1" ht="18" customHeight="1">
      <c r="A20" s="1198" t="s">
        <v>1039</v>
      </c>
      <c r="B20" s="346" t="s">
        <v>1438</v>
      </c>
      <c r="C20" s="24" t="e">
        <f ca="1">ROUND(C19*F20,0)</f>
        <v>#N/A</v>
      </c>
      <c r="D20" s="368" t="s">
        <v>1439</v>
      </c>
      <c r="E20" s="346" t="s">
        <v>1421</v>
      </c>
      <c r="F20" s="366">
        <f>'数据-取费表'!B37</f>
        <v>0.03</v>
      </c>
      <c r="G20" s="1851"/>
      <c r="H20" s="1198" t="s">
        <v>1387</v>
      </c>
      <c r="I20" s="163" t="s">
        <v>1440</v>
      </c>
      <c r="J20" s="25" t="e">
        <f ca="1">ROUND(M20*M21,0)</f>
        <v>#N/A</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v>
      </c>
      <c r="D21" s="368" t="s">
        <v>1444</v>
      </c>
      <c r="E21" s="346" t="s">
        <v>1445</v>
      </c>
      <c r="F21" s="366">
        <f>'数据-取费表'!B38</f>
        <v>0.03</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t="e">
        <f ca="1">ROUND(J14*M22,0)</f>
        <v>#N/A</v>
      </c>
      <c r="K22" s="1795" t="s">
        <v>1449</v>
      </c>
      <c r="L22" s="346" t="s">
        <v>1421</v>
      </c>
      <c r="M22" s="373" t="e">
        <f ca="1">INDIRECT("'数据-取费表'!Ak"&amp;$G$1)</f>
        <v>#N/A</v>
      </c>
    </row>
    <row r="23" spans="1:37" s="1855" customFormat="1" ht="18" customHeight="1">
      <c r="A23" s="1198"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t="e">
        <f ca="1">ROUND(J13*M23,0)</f>
        <v>#N/A</v>
      </c>
      <c r="K23" s="1795" t="s">
        <v>1453</v>
      </c>
      <c r="L23" s="346" t="s">
        <v>1454</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t="e">
        <f ca="1">ROUND(J5*M24,0)</f>
        <v>#N/A</v>
      </c>
      <c r="K24" s="1339" t="s">
        <v>1458</v>
      </c>
      <c r="L24" s="1337" t="s">
        <v>1454</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1459</v>
      </c>
      <c r="B25" s="346" t="s">
        <v>1460</v>
      </c>
      <c r="C25" s="24"/>
      <c r="D25" s="139" t="s">
        <v>1461</v>
      </c>
      <c r="E25" s="1815"/>
      <c r="F25" s="26"/>
      <c r="G25" s="1848"/>
      <c r="H25" s="1326" t="s">
        <v>1031</v>
      </c>
      <c r="I25" s="1341" t="s">
        <v>1462</v>
      </c>
      <c r="J25" s="354" t="e">
        <f ca="1">J5-J16</f>
        <v>#N/A</v>
      </c>
      <c r="K25" s="1342" t="s">
        <v>1463</v>
      </c>
      <c r="L25" s="1343"/>
      <c r="M25" s="1344"/>
    </row>
    <row r="26" spans="1:37" ht="18" customHeight="1">
      <c r="A26" s="1198"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8"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t="e">
        <f ca="1">ROUND((C19+C20+C23+C26)/(1-F21-C24-C27-C28),0)</f>
        <v>#N/A</v>
      </c>
      <c r="D29" s="1339"/>
      <c r="E29" s="1337"/>
      <c r="F29" s="1340"/>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t="e">
        <f ca="1">ROUND(C31+C36+C37+C38,0)</f>
        <v>#N/A</v>
      </c>
      <c r="D30" s="1334" t="s">
        <v>1424</v>
      </c>
      <c r="E30" s="1335"/>
      <c r="F30" s="1291"/>
      <c r="G30" s="1848"/>
      <c r="H30" s="744"/>
      <c r="I30" s="745"/>
      <c r="J30" s="746"/>
      <c r="K30" s="747"/>
      <c r="L30" s="748"/>
      <c r="M30" s="749"/>
    </row>
    <row r="31" spans="1:37" ht="18" customHeight="1">
      <c r="A31" s="1198" t="s">
        <v>1035</v>
      </c>
      <c r="B31" s="346" t="s">
        <v>1428</v>
      </c>
      <c r="C31" s="24" t="e">
        <f ca="1">ROUND(IF(项目基本情况!B11="自然人",C5*F31,C32+C33+C34),0)</f>
        <v>#N/A</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t="e">
        <f ca="1">IF(项目基本情况!B11="自然人","——",ROUND(C5*F32/(1+'数据-取费表'!C42),0))</f>
        <v>#N/A</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t="e">
        <f ca="1">IF(项目基本情况!B11="自然人","——",IF(D33="按租金收入计税",ROUND(C5*F33,0),IF(D33="按房产原值计税",ROUND(C29*F33*0.7,0),INDIRECT("'数据-取费表'!Aj"&amp;$G$1))))</f>
        <v>#N/A</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t="e">
        <f ca="1">IF(项目基本情况!B11="自然人","——",ROUND(F34*F35,))</f>
        <v>#N/A</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t="e">
        <f ca="1">INDIRECT("'数据-取费表'!r"&amp;$G$1)</f>
        <v>#N/A</v>
      </c>
      <c r="G35" s="1848"/>
      <c r="H35" s="744"/>
      <c r="I35" s="1857"/>
      <c r="J35" s="1858"/>
      <c r="K35" s="1859"/>
      <c r="L35" s="1856"/>
      <c r="M35" s="1856"/>
    </row>
    <row r="36" spans="1:18" ht="18" customHeight="1">
      <c r="A36" s="1349" t="s">
        <v>1039</v>
      </c>
      <c r="B36" s="346" t="s">
        <v>1448</v>
      </c>
      <c r="C36" s="24" t="e">
        <f ca="1">ROUND(C29*F36,0)</f>
        <v>#N/A</v>
      </c>
      <c r="D36" s="1795" t="s">
        <v>1481</v>
      </c>
      <c r="E36" s="346" t="s">
        <v>1421</v>
      </c>
      <c r="F36" s="373" t="e">
        <f ca="1">INDIRECT("'数据-取费表'!Ak"&amp;$G$1)</f>
        <v>#N/A</v>
      </c>
      <c r="G36" s="1848"/>
      <c r="H36" s="1856"/>
      <c r="I36" s="1857"/>
      <c r="J36" s="1858"/>
      <c r="K36" s="750"/>
      <c r="L36" s="1856"/>
      <c r="M36" s="1856"/>
    </row>
    <row r="37" spans="1:18" ht="18" customHeight="1">
      <c r="A37" s="1198" t="s">
        <v>1075</v>
      </c>
      <c r="B37" s="346" t="s">
        <v>1452</v>
      </c>
      <c r="C37" s="24" t="e">
        <f ca="1">ROUND(C13*F37,0)</f>
        <v>#N/A</v>
      </c>
      <c r="D37" s="1795" t="s">
        <v>1453</v>
      </c>
      <c r="E37" s="346" t="s">
        <v>1454</v>
      </c>
      <c r="F37" s="375" t="e">
        <f ca="1">INDIRECT("'数据-取费表'!Al"&amp;$G$1)</f>
        <v>#N/A</v>
      </c>
      <c r="G37" s="1848"/>
      <c r="H37" s="1856"/>
      <c r="I37" s="1857"/>
      <c r="J37" s="1858"/>
      <c r="K37" s="750"/>
      <c r="L37" s="1856"/>
      <c r="M37" s="1856"/>
    </row>
    <row r="38" spans="1:18" ht="18" customHeight="1" thickBot="1">
      <c r="A38" s="1336" t="s">
        <v>1391</v>
      </c>
      <c r="B38" s="1337" t="s">
        <v>1438</v>
      </c>
      <c r="C38" s="1338" t="e">
        <f ca="1">ROUND(C5*F38,1)</f>
        <v>#N/A</v>
      </c>
      <c r="D38" s="1339" t="s">
        <v>1458</v>
      </c>
      <c r="E38" s="1337" t="s">
        <v>1454</v>
      </c>
      <c r="F38" s="1333" t="e">
        <f ca="1">INDIRECT("'数据-取费表'!Am"&amp;$G$1)</f>
        <v>#N/A</v>
      </c>
      <c r="G38" s="1848"/>
      <c r="H38" s="1856"/>
      <c r="I38" s="1857"/>
      <c r="J38" s="1858"/>
      <c r="K38" s="1862"/>
      <c r="L38" s="1856"/>
      <c r="M38" s="1856"/>
    </row>
    <row r="39" spans="1:18" ht="24.6" customHeight="1" thickTop="1">
      <c r="A39" s="1326" t="s">
        <v>1031</v>
      </c>
      <c r="B39" s="1341" t="s">
        <v>1482</v>
      </c>
      <c r="C39" s="354" t="e">
        <f ca="1">C5-C30</f>
        <v>#N/A</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1518</v>
      </c>
      <c r="P45" s="1836"/>
      <c r="Q45" s="1836"/>
      <c r="R45" s="1836"/>
    </row>
    <row r="46" spans="1:18" s="1839" customFormat="1" ht="13.5" thickBot="1">
      <c r="A46" s="1867" t="s">
        <v>1519</v>
      </c>
      <c r="C46" s="1868" t="e">
        <f ca="1">ROUND(C45/10000,0)</f>
        <v>#N/A</v>
      </c>
      <c r="D46" s="1869" t="str">
        <f>C2</f>
        <v>万元</v>
      </c>
      <c r="I46" s="1870" t="s">
        <v>1520</v>
      </c>
      <c r="J46" s="1871"/>
      <c r="K46" s="1872"/>
      <c r="L46" s="1873" t="e">
        <f ca="1">IF(M47="住宅",0,IF(L48&gt;J51,L60,J60))</f>
        <v>#N/A</v>
      </c>
      <c r="O46" s="1874" t="s">
        <v>1521</v>
      </c>
      <c r="P46" s="1875" t="s">
        <v>1522</v>
      </c>
      <c r="Q46" s="1876" t="s">
        <v>1523</v>
      </c>
      <c r="R46" s="1876" t="s">
        <v>1524</v>
      </c>
    </row>
    <row r="47" spans="1:18" s="1839" customFormat="1" ht="13.5" thickBot="1">
      <c r="A47" s="1162" t="s">
        <v>1394</v>
      </c>
      <c r="B47" s="1194" t="s">
        <v>1395</v>
      </c>
      <c r="C47" s="1194" t="s">
        <v>1396</v>
      </c>
      <c r="D47" s="1194" t="s">
        <v>1397</v>
      </c>
      <c r="E47" s="1276" t="s">
        <v>1398</v>
      </c>
      <c r="F47" s="1277"/>
      <c r="G47" s="791"/>
      <c r="I47" s="1877" t="s">
        <v>1525</v>
      </c>
      <c r="J47" s="1878" t="s">
        <v>3038</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7" t="s">
        <v>1135</v>
      </c>
      <c r="B48" s="344" t="s">
        <v>1399</v>
      </c>
      <c r="C48" s="1814" t="e">
        <f ca="1">C49+C53+C55</f>
        <v>#N/A</v>
      </c>
      <c r="D48" s="1359"/>
      <c r="E48" s="1360"/>
      <c r="F48" s="1178"/>
      <c r="G48" s="791"/>
      <c r="H48" s="792"/>
      <c r="I48" s="1884" t="s">
        <v>1529</v>
      </c>
      <c r="J48" s="1885" t="s">
        <v>3039</v>
      </c>
      <c r="K48" s="1886" t="s">
        <v>1530</v>
      </c>
      <c r="L48" s="1887" t="e">
        <f ca="1">INDIRECT("'数据-取费表'!f"&amp;$G$1)</f>
        <v>#N/A</v>
      </c>
      <c r="O48" s="1881" t="s">
        <v>1041</v>
      </c>
      <c r="P48" s="1882" t="s">
        <v>1531</v>
      </c>
      <c r="Q48" s="1883" t="e">
        <f ca="1">J60</f>
        <v>#N/A</v>
      </c>
      <c r="R48" s="1883" t="s">
        <v>1532</v>
      </c>
    </row>
    <row r="49" spans="1:18" s="1839" customFormat="1" ht="13.5" thickBot="1">
      <c r="A49" s="1191" t="s">
        <v>1136</v>
      </c>
      <c r="B49" s="1826" t="s">
        <v>1489</v>
      </c>
      <c r="C49" s="1361" t="e">
        <f ca="1">ROUND(F49*F51*F50*(1-F52),0)</f>
        <v>#N/A</v>
      </c>
      <c r="D49" s="1273" t="s">
        <v>1402</v>
      </c>
      <c r="E49" s="1827" t="s">
        <v>1490</v>
      </c>
      <c r="F49" s="1278"/>
      <c r="G49" s="1888"/>
      <c r="H49" s="792"/>
      <c r="I49" s="1884" t="s">
        <v>1533</v>
      </c>
      <c r="J49" s="1889">
        <v>2006</v>
      </c>
      <c r="K49" s="1886" t="s">
        <v>1534</v>
      </c>
      <c r="L49" s="1890"/>
      <c r="O49" s="1891" t="s">
        <v>1042</v>
      </c>
      <c r="P49" s="1882" t="s">
        <v>1535</v>
      </c>
      <c r="Q49" s="1883" t="e">
        <f ca="1">C29</f>
        <v>#N/A</v>
      </c>
      <c r="R49" s="1883" t="s">
        <v>1528</v>
      </c>
    </row>
    <row r="50" spans="1:18" s="1839" customFormat="1" ht="13.5" thickBot="1">
      <c r="A50" s="1192"/>
      <c r="B50" s="1195"/>
      <c r="C50" s="1196"/>
      <c r="D50" s="1169"/>
      <c r="E50" s="1274" t="s">
        <v>1404</v>
      </c>
      <c r="F50" s="1275"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3"/>
      <c r="B51" s="1195"/>
      <c r="C51" s="1196"/>
      <c r="D51" s="1169"/>
      <c r="E51" s="1197" t="s">
        <v>1405</v>
      </c>
      <c r="F51" s="347" t="e">
        <f ca="1">F8</f>
        <v>#N/A</v>
      </c>
      <c r="I51" s="1895" t="s">
        <v>1539</v>
      </c>
      <c r="J51" s="1896">
        <f>IF(J49="",J50,J49+J50-YEAR('数据-取费表'!B2))</f>
        <v>48</v>
      </c>
      <c r="K51" s="1897" t="s">
        <v>1540</v>
      </c>
      <c r="L51" s="1898" t="e">
        <f ca="1">ROUND(-PV(INDIRECT("'数据-取费表'!h"&amp;$G$1),L48,(C39-C13*C76),0),0)</f>
        <v>#N/A</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t="e">
        <f ca="1">J53</f>
        <v>#N/A</v>
      </c>
      <c r="R52" s="1883" t="s">
        <v>1545</v>
      </c>
    </row>
    <row r="53" spans="1:18" s="1839" customFormat="1" ht="30.75" customHeight="1" thickBot="1">
      <c r="A53" s="1358" t="s">
        <v>1137</v>
      </c>
      <c r="B53" s="368" t="s">
        <v>1407</v>
      </c>
      <c r="C53" s="360">
        <f ca="1">ROUND(IF(F53="押一",F49*F51*F50/12*F11,IF(F53="押二",F49*F51*F50/12*2*F11,IF(F53="押三",F49*F51*F50/12*3*F11,C54*F11))),0)</f>
        <v>0</v>
      </c>
      <c r="D53" s="1821" t="s">
        <v>1408</v>
      </c>
      <c r="E53" s="357" t="s">
        <v>1409</v>
      </c>
      <c r="F53" s="1363"/>
      <c r="I53" s="1902" t="s">
        <v>1546</v>
      </c>
      <c r="J53" s="1903" t="e">
        <f ca="1">IF(M47="住宅",J51,IF(D1="——",MIN(J51,L48),IF(D1="在建（套用方法）",MIN(J51,L48-'数据-取费表'!B24),IF(D1="土地（套用方法）",MIN(J51,L48-'数据-取费表'!B20)))))</f>
        <v>#N/A</v>
      </c>
      <c r="K53" s="3199" t="s">
        <v>1547</v>
      </c>
      <c r="L53" s="3200"/>
      <c r="O53" s="1881" t="s">
        <v>1046</v>
      </c>
      <c r="P53" s="1882" t="s">
        <v>1548</v>
      </c>
      <c r="Q53" s="1883" t="e">
        <f ca="1">Q47+Q48</f>
        <v>#N/A</v>
      </c>
      <c r="R53" s="1883" t="s">
        <v>1047</v>
      </c>
    </row>
    <row r="54" spans="1:18" s="1839" customFormat="1" ht="13.5" thickBot="1">
      <c r="A54" s="1191"/>
      <c r="B54" s="1938" t="s">
        <v>1602</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#N/A</v>
      </c>
      <c r="K55" s="1909" t="s">
        <v>1551</v>
      </c>
      <c r="L55" s="1910"/>
      <c r="O55" s="1874" t="s">
        <v>1521</v>
      </c>
      <c r="P55" s="1875" t="s">
        <v>1522</v>
      </c>
      <c r="Q55" s="1876" t="s">
        <v>1523</v>
      </c>
      <c r="R55" s="1876" t="s">
        <v>1524</v>
      </c>
    </row>
    <row r="56" spans="1:18" s="1839" customFormat="1" ht="36" customHeight="1" thickTop="1" thickBot="1">
      <c r="A56" s="1173">
        <v>2</v>
      </c>
      <c r="B56" s="1174" t="s">
        <v>1413</v>
      </c>
      <c r="C56" s="275" t="e">
        <f ca="1">C13</f>
        <v>#N/A</v>
      </c>
      <c r="D56" s="1911"/>
      <c r="E56" s="1912"/>
      <c r="F56" s="1904"/>
      <c r="I56" s="1913" t="s">
        <v>1553</v>
      </c>
      <c r="J56" s="1914"/>
      <c r="K56" s="1884" t="s">
        <v>1554</v>
      </c>
      <c r="L56" s="1887" t="e">
        <f ca="1">IF(L48&lt;J51,"——",L48-J51)</f>
        <v>#N/A</v>
      </c>
      <c r="O56" s="1881" t="s">
        <v>1040</v>
      </c>
      <c r="P56" s="1882" t="s">
        <v>1527</v>
      </c>
      <c r="Q56" s="1883" t="e">
        <f ca="1">C40+J29</f>
        <v>#N/A</v>
      </c>
      <c r="R56" s="1883" t="s">
        <v>1528</v>
      </c>
    </row>
    <row r="57" spans="1:18" s="1839" customFormat="1" ht="24.75" thickBot="1">
      <c r="A57" s="1915"/>
      <c r="B57" s="1166" t="s">
        <v>1477</v>
      </c>
      <c r="C57" s="281"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9" t="s">
        <v>1030</v>
      </c>
      <c r="B58" s="1174" t="s">
        <v>1423</v>
      </c>
      <c r="C58" s="360" t="e">
        <f ca="1">ROUND(C59+C64+C65+C66,0)</f>
        <v>#N/A</v>
      </c>
      <c r="D58" s="1176" t="s">
        <v>1424</v>
      </c>
      <c r="E58" s="1177"/>
      <c r="F58" s="1178"/>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8" t="s">
        <v>1035</v>
      </c>
      <c r="B59" s="1166" t="s">
        <v>1428</v>
      </c>
      <c r="C59" s="24" t="e">
        <f ca="1">ROUND(IF(项目基本情况!B11="自然人",C48*F59,C60+C61+C62),0)</f>
        <v>#N/A</v>
      </c>
      <c r="D59" s="1179" t="s">
        <v>1429</v>
      </c>
      <c r="E59" s="1180"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8" t="s">
        <v>1034</v>
      </c>
      <c r="B60" s="1166" t="s">
        <v>1432</v>
      </c>
      <c r="C60" s="24" t="e">
        <f ca="1">IF(项目基本情况!B11="自然人","——",ROUND(C48*F60/(1+'数据-取费表'!C42),0))</f>
        <v>#N/A</v>
      </c>
      <c r="D60" s="1180" t="s">
        <v>1433</v>
      </c>
      <c r="E60" s="1166"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8" t="s">
        <v>1491</v>
      </c>
      <c r="B61" s="1166" t="s">
        <v>1492</v>
      </c>
      <c r="C61" s="24" t="e">
        <f ca="1">IF(项目基本情况!B11="自然人","——",IF(D61="按租金收入计税",ROUND(C48*F61,0),IF(D61="按房产原值计税",ROUND(C57*F61*0.7,0),INDIRECT("'数据-取费表'!Aj"&amp;$G$1))))</f>
        <v>#N/A</v>
      </c>
      <c r="D61" s="1825" t="s">
        <v>1437</v>
      </c>
      <c r="E61" s="1166" t="s">
        <v>1493</v>
      </c>
      <c r="F61" s="366">
        <f t="shared" si="0"/>
        <v>1.2E-2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8" t="s">
        <v>1494</v>
      </c>
      <c r="B62" s="1165" t="s">
        <v>1495</v>
      </c>
      <c r="C62" s="25" t="e">
        <f ca="1">IF(项目基本情况!B11="自然人","——",ROUND(F62*F63,0))</f>
        <v>#N/A</v>
      </c>
      <c r="D62" s="1181" t="s">
        <v>1496</v>
      </c>
      <c r="E62" s="1166" t="s">
        <v>1497</v>
      </c>
      <c r="F62" s="370">
        <f t="shared" si="0"/>
        <v>12</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71"/>
      <c r="B63" s="1172"/>
      <c r="C63" s="29"/>
      <c r="D63" s="1182"/>
      <c r="E63" s="1166" t="s">
        <v>1498</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t="e">
        <f ca="1">ROUND(C57*F64,0)</f>
        <v>#N/A</v>
      </c>
      <c r="D64" s="1180" t="s">
        <v>1501</v>
      </c>
      <c r="E64" s="1166" t="s">
        <v>1493</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t="e">
        <f ca="1">ROUND(C56*F65,0)</f>
        <v>#N/A</v>
      </c>
      <c r="D65" s="1180" t="s">
        <v>1453</v>
      </c>
      <c r="E65" s="1166" t="s">
        <v>1454</v>
      </c>
      <c r="F65" s="375" t="e">
        <f t="shared" ca="1" si="0"/>
        <v>#N/A</v>
      </c>
      <c r="I65" s="1926" t="s">
        <v>1578</v>
      </c>
      <c r="J65" s="1927">
        <v>40</v>
      </c>
      <c r="K65" s="1927">
        <v>30</v>
      </c>
      <c r="L65" s="1927">
        <v>50</v>
      </c>
      <c r="M65" s="1929">
        <v>0.02</v>
      </c>
      <c r="O65" s="1881" t="s">
        <v>1040</v>
      </c>
      <c r="P65" s="1882" t="s">
        <v>1579</v>
      </c>
      <c r="Q65" s="1883" t="e">
        <f ca="1">C40+J29</f>
        <v>#N/A</v>
      </c>
      <c r="R65" s="1883" t="s">
        <v>1528</v>
      </c>
    </row>
    <row r="66" spans="1:18" s="1839" customFormat="1" ht="16.5" thickBot="1">
      <c r="A66" s="1198" t="s">
        <v>1503</v>
      </c>
      <c r="B66" s="1166" t="s">
        <v>1438</v>
      </c>
      <c r="C66" s="24" t="e">
        <f ca="1">ROUND(C48*F66,0)</f>
        <v>#N/A</v>
      </c>
      <c r="D66" s="1180" t="s">
        <v>1504</v>
      </c>
      <c r="E66" s="1166" t="s">
        <v>1421</v>
      </c>
      <c r="F66" s="356" t="e">
        <f t="shared" ca="1" si="0"/>
        <v>#N/A</v>
      </c>
      <c r="O66" s="1881" t="s">
        <v>1041</v>
      </c>
      <c r="P66" s="1882" t="s">
        <v>1557</v>
      </c>
      <c r="Q66" s="1883" t="e">
        <f ca="1">L60</f>
        <v>#N/A</v>
      </c>
      <c r="R66" s="1883" t="s">
        <v>1580</v>
      </c>
    </row>
    <row r="67" spans="1:18" s="1839" customFormat="1" ht="16.5" thickBot="1">
      <c r="A67" s="1173" t="s">
        <v>1031</v>
      </c>
      <c r="B67" s="1183" t="s">
        <v>1462</v>
      </c>
      <c r="C67" s="360" t="e">
        <f ca="1">C48-C58</f>
        <v>#N/A</v>
      </c>
      <c r="D67" s="1179" t="s">
        <v>1463</v>
      </c>
      <c r="E67" s="1184"/>
      <c r="F67" s="1185"/>
      <c r="O67" s="1891" t="s">
        <v>1042</v>
      </c>
      <c r="P67" s="1882" t="s">
        <v>1561</v>
      </c>
      <c r="Q67" s="1930" t="e">
        <f ca="1">L51</f>
        <v>#N/A</v>
      </c>
      <c r="R67" s="1883" t="s">
        <v>1581</v>
      </c>
    </row>
    <row r="68" spans="1:18" s="1839" customFormat="1" ht="16.5" thickBot="1">
      <c r="A68" s="1163" t="s">
        <v>1032</v>
      </c>
      <c r="B68" s="1164" t="s">
        <v>1484</v>
      </c>
      <c r="C68" s="345" t="e">
        <f ca="1">ROUND(C67*(1-((1+F70)/(1+F68))^F69)/(F68-F70),0)</f>
        <v>#N/A</v>
      </c>
      <c r="D68" s="1181" t="s">
        <v>1468</v>
      </c>
      <c r="E68" s="1166" t="s">
        <v>1469</v>
      </c>
      <c r="F68" s="356" t="e">
        <f ca="1">F40</f>
        <v>#N/A</v>
      </c>
      <c r="O68" s="1891" t="s">
        <v>1043</v>
      </c>
      <c r="P68" s="1931" t="s">
        <v>1582</v>
      </c>
      <c r="Q68" s="1883" t="e">
        <f ca="1">ROUND(Q69-Q70*Q71,0)</f>
        <v>#N/A</v>
      </c>
      <c r="R68" s="1883" t="s">
        <v>1051</v>
      </c>
    </row>
    <row r="69" spans="1:18" s="1839" customFormat="1" ht="13.5" thickBot="1">
      <c r="A69" s="1167"/>
      <c r="B69" s="1168"/>
      <c r="C69" s="350"/>
      <c r="D69" s="1186" t="s">
        <v>1472</v>
      </c>
      <c r="E69" s="1166" t="s">
        <v>1473</v>
      </c>
      <c r="F69" s="378" t="e">
        <f ca="1">F41</f>
        <v>#N/A</v>
      </c>
      <c r="O69" s="1891" t="s">
        <v>1048</v>
      </c>
      <c r="P69" s="1931" t="s">
        <v>1583</v>
      </c>
      <c r="Q69" s="1883" t="e">
        <f ca="1">C39</f>
        <v>#N/A</v>
      </c>
      <c r="R69" s="1883" t="s">
        <v>1528</v>
      </c>
    </row>
    <row r="70" spans="1:18" s="1839" customFormat="1" ht="13.5" thickBot="1">
      <c r="A70" s="1170"/>
      <c r="B70" s="1171"/>
      <c r="C70" s="354"/>
      <c r="D70" s="1182"/>
      <c r="E70" s="1166" t="s">
        <v>1476</v>
      </c>
      <c r="F70" s="1272" t="e">
        <f ca="1">F42</f>
        <v>#N/A</v>
      </c>
      <c r="O70" s="1891" t="s">
        <v>1049</v>
      </c>
      <c r="P70" s="1931" t="s">
        <v>1584</v>
      </c>
      <c r="Q70" s="1883" t="e">
        <f ca="1">C13</f>
        <v>#N/A</v>
      </c>
      <c r="R70" s="1883" t="s">
        <v>1528</v>
      </c>
    </row>
    <row r="71" spans="1:18" s="1839" customFormat="1" ht="13.5" thickBot="1">
      <c r="A71" s="1187" t="s">
        <v>1033</v>
      </c>
      <c r="B71" s="1188" t="s">
        <v>1486</v>
      </c>
      <c r="C71" s="381" t="e">
        <f ca="1">ROUND(C68/F71,0)</f>
        <v>#N/A</v>
      </c>
      <c r="D71" s="1189" t="s">
        <v>1487</v>
      </c>
      <c r="E71" s="1190"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4" t="s">
        <v>1076</v>
      </c>
      <c r="B1" s="3205"/>
      <c r="C1" s="3206"/>
      <c r="D1" s="3207">
        <f>SUM(I10,I15,I20,I21,I23)</f>
        <v>0</v>
      </c>
      <c r="E1" s="3207"/>
      <c r="F1" s="3207"/>
      <c r="G1" s="3207"/>
      <c r="H1" s="3207"/>
      <c r="I1" s="3208"/>
    </row>
    <row r="2" spans="1:9">
      <c r="A2" s="3209" t="s">
        <v>1077</v>
      </c>
      <c r="B2" s="3210" t="s">
        <v>1078</v>
      </c>
      <c r="C2" s="3210"/>
      <c r="D2" s="1298" t="s">
        <v>1079</v>
      </c>
      <c r="E2" s="1298" t="s">
        <v>1080</v>
      </c>
      <c r="F2" s="1298" t="s">
        <v>1081</v>
      </c>
      <c r="G2" s="1298" t="s">
        <v>1082</v>
      </c>
      <c r="H2" s="1298" t="s">
        <v>1083</v>
      </c>
      <c r="I2" s="1299" t="s">
        <v>1084</v>
      </c>
    </row>
    <row r="3" spans="1:9">
      <c r="A3" s="3209"/>
      <c r="B3" s="3210" t="s">
        <v>1085</v>
      </c>
      <c r="C3" s="3210"/>
      <c r="D3" s="1300"/>
      <c r="E3" s="1298"/>
      <c r="F3" s="1301"/>
      <c r="G3" s="1301"/>
      <c r="H3" s="1302"/>
      <c r="I3" s="1303">
        <f>ROUND(D3*E3*F3*G3*H3/10000,0)</f>
        <v>0</v>
      </c>
    </row>
    <row r="4" spans="1:9">
      <c r="A4" s="3209"/>
      <c r="B4" s="3210" t="s">
        <v>1086</v>
      </c>
      <c r="C4" s="3210"/>
      <c r="D4" s="1300"/>
      <c r="E4" s="1298"/>
      <c r="F4" s="1301"/>
      <c r="G4" s="1301"/>
      <c r="H4" s="1302"/>
      <c r="I4" s="1303">
        <f t="shared" ref="I4:I9" si="0">ROUND(D4*E4*F4*G4*H4/10000,0)</f>
        <v>0</v>
      </c>
    </row>
    <row r="5" spans="1:9">
      <c r="A5" s="3209"/>
      <c r="B5" s="3210" t="s">
        <v>1087</v>
      </c>
      <c r="C5" s="3210"/>
      <c r="D5" s="1300"/>
      <c r="E5" s="1298"/>
      <c r="F5" s="1301"/>
      <c r="G5" s="1301"/>
      <c r="H5" s="1302"/>
      <c r="I5" s="1303">
        <f t="shared" si="0"/>
        <v>0</v>
      </c>
    </row>
    <row r="6" spans="1:9">
      <c r="A6" s="3209"/>
      <c r="B6" s="3210" t="s">
        <v>1088</v>
      </c>
      <c r="C6" s="3210"/>
      <c r="D6" s="1300"/>
      <c r="E6" s="1298"/>
      <c r="F6" s="1301"/>
      <c r="G6" s="1301"/>
      <c r="H6" s="1302"/>
      <c r="I6" s="1303">
        <f t="shared" si="0"/>
        <v>0</v>
      </c>
    </row>
    <row r="7" spans="1:9">
      <c r="A7" s="3209"/>
      <c r="B7" s="3210" t="s">
        <v>1089</v>
      </c>
      <c r="C7" s="3210"/>
      <c r="D7" s="1300"/>
      <c r="E7" s="1298"/>
      <c r="F7" s="1301"/>
      <c r="G7" s="1301"/>
      <c r="H7" s="1302"/>
      <c r="I7" s="1303">
        <f t="shared" si="0"/>
        <v>0</v>
      </c>
    </row>
    <row r="8" spans="1:9">
      <c r="A8" s="3209"/>
      <c r="B8" s="3210" t="s">
        <v>1090</v>
      </c>
      <c r="C8" s="3210"/>
      <c r="D8" s="1300"/>
      <c r="E8" s="1298"/>
      <c r="F8" s="1301"/>
      <c r="G8" s="1301"/>
      <c r="H8" s="1302"/>
      <c r="I8" s="1303">
        <f t="shared" si="0"/>
        <v>0</v>
      </c>
    </row>
    <row r="9" spans="1:9">
      <c r="A9" s="3209"/>
      <c r="B9" s="3210" t="s">
        <v>1091</v>
      </c>
      <c r="C9" s="3210"/>
      <c r="D9" s="1300"/>
      <c r="E9" s="1298"/>
      <c r="F9" s="1301"/>
      <c r="G9" s="1301"/>
      <c r="H9" s="1302"/>
      <c r="I9" s="1303">
        <f t="shared" si="0"/>
        <v>0</v>
      </c>
    </row>
    <row r="10" spans="1:9">
      <c r="A10" s="3209"/>
      <c r="B10" s="3211" t="s">
        <v>1092</v>
      </c>
      <c r="C10" s="3211"/>
      <c r="D10" s="1304"/>
      <c r="E10" s="1304" t="e">
        <f>ROUND(D1*10000/D10/H9,0)</f>
        <v>#DIV/0!</v>
      </c>
      <c r="F10" s="1305"/>
      <c r="G10" s="1305"/>
      <c r="H10" s="1306"/>
      <c r="I10" s="1307">
        <f>SUM(I3:I9)</f>
        <v>0</v>
      </c>
    </row>
    <row r="11" spans="1:9" ht="14.25">
      <c r="A11" s="3209" t="s">
        <v>1093</v>
      </c>
      <c r="B11" s="3210" t="s">
        <v>1094</v>
      </c>
      <c r="C11" s="3210"/>
      <c r="D11" s="1300" t="s">
        <v>1095</v>
      </c>
      <c r="E11" s="1300" t="s">
        <v>1096</v>
      </c>
      <c r="F11" s="1301" t="s">
        <v>1097</v>
      </c>
      <c r="G11" s="1301" t="s">
        <v>1083</v>
      </c>
      <c r="H11" s="1308" t="s">
        <v>1098</v>
      </c>
      <c r="I11" s="1299" t="s">
        <v>1084</v>
      </c>
    </row>
    <row r="12" spans="1:9">
      <c r="A12" s="3209"/>
      <c r="B12" s="3210" t="s">
        <v>1099</v>
      </c>
      <c r="C12" s="3210"/>
      <c r="D12" s="1300"/>
      <c r="E12" s="1300"/>
      <c r="F12" s="1301"/>
      <c r="G12" s="1302"/>
      <c r="H12" s="1309"/>
      <c r="I12" s="1299">
        <f>ROUND(D12*E12*F12*G12/10000,0)</f>
        <v>0</v>
      </c>
    </row>
    <row r="13" spans="1:9">
      <c r="A13" s="3209"/>
      <c r="B13" s="3210" t="s">
        <v>1100</v>
      </c>
      <c r="C13" s="3210"/>
      <c r="D13" s="1300"/>
      <c r="E13" s="1300"/>
      <c r="F13" s="1301"/>
      <c r="G13" s="1302"/>
      <c r="H13" s="1309"/>
      <c r="I13" s="1299">
        <f>ROUND(D13*E13*F13*G13/10000,0)</f>
        <v>0</v>
      </c>
    </row>
    <row r="14" spans="1:9">
      <c r="A14" s="3209"/>
      <c r="B14" s="3210" t="s">
        <v>1101</v>
      </c>
      <c r="C14" s="3210"/>
      <c r="D14" s="1300"/>
      <c r="E14" s="1300"/>
      <c r="F14" s="1301"/>
      <c r="G14" s="1302"/>
      <c r="H14" s="1309"/>
      <c r="I14" s="1299">
        <f>ROUND(D14*E14*F14*G14/10000,0)</f>
        <v>0</v>
      </c>
    </row>
    <row r="15" spans="1:9">
      <c r="A15" s="3209"/>
      <c r="B15" s="3211" t="s">
        <v>1092</v>
      </c>
      <c r="C15" s="3211"/>
      <c r="D15" s="1304"/>
      <c r="E15" s="1304">
        <f>SUM(E12:E14)</f>
        <v>0</v>
      </c>
      <c r="F15" s="1305"/>
      <c r="G15" s="1302"/>
      <c r="H15" s="1309"/>
      <c r="I15" s="1310">
        <f>SUM(I12:I14)</f>
        <v>0</v>
      </c>
    </row>
    <row r="16" spans="1:9" ht="24">
      <c r="A16" s="3209" t="s">
        <v>1102</v>
      </c>
      <c r="B16" s="3210" t="s">
        <v>1103</v>
      </c>
      <c r="C16" s="3210"/>
      <c r="D16" s="1300" t="s">
        <v>1079</v>
      </c>
      <c r="E16" s="1311" t="s">
        <v>1104</v>
      </c>
      <c r="F16" s="1301" t="s">
        <v>1105</v>
      </c>
      <c r="G16" s="1302" t="s">
        <v>1083</v>
      </c>
      <c r="H16" s="1308" t="s">
        <v>1098</v>
      </c>
      <c r="I16" s="1299" t="s">
        <v>1084</v>
      </c>
    </row>
    <row r="17" spans="1:9" ht="14.25">
      <c r="A17" s="3209"/>
      <c r="B17" s="3210" t="s">
        <v>1106</v>
      </c>
      <c r="C17" s="3210"/>
      <c r="D17" s="1300"/>
      <c r="E17" s="1300"/>
      <c r="F17" s="1301"/>
      <c r="G17" s="1302"/>
      <c r="H17" s="1312"/>
      <c r="I17" s="1313">
        <f>ROUND(D17*E17*F17*G17/10000,0)</f>
        <v>0</v>
      </c>
    </row>
    <row r="18" spans="1:9" ht="14.25">
      <c r="A18" s="3209"/>
      <c r="B18" s="3210" t="s">
        <v>1107</v>
      </c>
      <c r="C18" s="3210"/>
      <c r="D18" s="1300"/>
      <c r="E18" s="1300"/>
      <c r="F18" s="1301"/>
      <c r="G18" s="1302"/>
      <c r="H18" s="1312"/>
      <c r="I18" s="1313">
        <f>ROUND(D18*E18*F18*G18/10000,0)</f>
        <v>0</v>
      </c>
    </row>
    <row r="19" spans="1:9" ht="14.25">
      <c r="A19" s="3209"/>
      <c r="B19" s="3210" t="s">
        <v>1108</v>
      </c>
      <c r="C19" s="3210"/>
      <c r="D19" s="1300"/>
      <c r="E19" s="1300"/>
      <c r="F19" s="1301"/>
      <c r="G19" s="1302"/>
      <c r="H19" s="1312"/>
      <c r="I19" s="1313">
        <f>ROUND(D19*E19*F19*G19/10000,0)</f>
        <v>0</v>
      </c>
    </row>
    <row r="20" spans="1:9">
      <c r="A20" s="3209"/>
      <c r="B20" s="3211" t="s">
        <v>1092</v>
      </c>
      <c r="C20" s="3211"/>
      <c r="D20" s="1304">
        <f>SUM(D17:D19)</f>
        <v>0</v>
      </c>
      <c r="E20" s="1304"/>
      <c r="F20" s="1305"/>
      <c r="G20" s="1302"/>
      <c r="H20" s="1309"/>
      <c r="I20" s="1310">
        <f>SUM(I17:I19)</f>
        <v>0</v>
      </c>
    </row>
    <row r="21" spans="1:9">
      <c r="A21" s="3209" t="s">
        <v>1109</v>
      </c>
      <c r="B21" s="3213"/>
      <c r="C21" s="3213"/>
      <c r="D21" s="3213"/>
      <c r="E21" s="3213"/>
      <c r="F21" s="3213"/>
      <c r="G21" s="3213"/>
      <c r="H21" s="1762">
        <v>0.1</v>
      </c>
      <c r="I21" s="1307">
        <f>ROUND(I10*H21,0)</f>
        <v>0</v>
      </c>
    </row>
    <row r="22" spans="1:9" ht="14.25">
      <c r="A22" s="3214" t="s">
        <v>1110</v>
      </c>
      <c r="B22" s="3215"/>
      <c r="C22" s="3216"/>
      <c r="D22" s="1314" t="s">
        <v>1111</v>
      </c>
      <c r="E22" s="1314" t="s">
        <v>1112</v>
      </c>
      <c r="F22" s="1315" t="s">
        <v>1113</v>
      </c>
      <c r="G22" s="1315" t="s">
        <v>1114</v>
      </c>
      <c r="H22" s="1308" t="s">
        <v>1115</v>
      </c>
      <c r="I22" s="1299" t="s">
        <v>1116</v>
      </c>
    </row>
    <row r="23" spans="1:9" ht="14.25" thickBot="1">
      <c r="A23" s="3217"/>
      <c r="B23" s="3218"/>
      <c r="C23" s="3219"/>
      <c r="D23" s="1316"/>
      <c r="E23" s="1316"/>
      <c r="F23" s="1316"/>
      <c r="G23" s="1317"/>
      <c r="H23" s="1318"/>
      <c r="I23" s="1319">
        <f>ROUND(E23*D23*F23*(1-G23)/10000,0)</f>
        <v>0</v>
      </c>
    </row>
    <row r="26" spans="1:9">
      <c r="A26" s="1320" t="s">
        <v>1117</v>
      </c>
      <c r="B26" s="1320"/>
      <c r="C26" s="1320"/>
      <c r="D26" s="1320"/>
      <c r="E26" s="3220">
        <f>C27-C30-C31-C32</f>
        <v>0</v>
      </c>
      <c r="F26" s="3220"/>
      <c r="G26" s="3220"/>
      <c r="H26" s="1734" t="s">
        <v>1338</v>
      </c>
    </row>
    <row r="27" spans="1:9">
      <c r="A27" s="1321">
        <v>1</v>
      </c>
      <c r="B27" s="1322" t="s">
        <v>1118</v>
      </c>
      <c r="C27" s="1322">
        <f>C28+C29</f>
        <v>0</v>
      </c>
      <c r="D27" s="1322"/>
      <c r="E27" s="3221"/>
      <c r="F27" s="3221"/>
      <c r="G27" s="3221"/>
    </row>
    <row r="28" spans="1:9">
      <c r="A28" s="1323" t="s">
        <v>1119</v>
      </c>
      <c r="B28" s="1322" t="s">
        <v>1120</v>
      </c>
      <c r="C28" s="1322"/>
      <c r="D28" s="1322"/>
      <c r="E28" s="3221"/>
      <c r="F28" s="3221"/>
      <c r="G28" s="3221"/>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12"/>
      <c r="F32" s="3212"/>
      <c r="G32" s="3212"/>
    </row>
    <row r="33" spans="1:7" hidden="1">
      <c r="A33" s="3222" t="s">
        <v>1129</v>
      </c>
      <c r="B33" s="3223"/>
      <c r="C33" s="3223"/>
      <c r="D33" s="3224"/>
      <c r="E33" s="3220"/>
      <c r="F33" s="3220"/>
      <c r="G33" s="3220"/>
    </row>
    <row r="34" spans="1:7" hidden="1">
      <c r="A34" s="1325">
        <v>1</v>
      </c>
      <c r="B34" s="1322" t="s">
        <v>1130</v>
      </c>
      <c r="C34" s="1322"/>
      <c r="D34" s="1322"/>
      <c r="E34" s="3221"/>
      <c r="F34" s="3221"/>
      <c r="G34" s="3221"/>
    </row>
    <row r="35" spans="1:7" hidden="1">
      <c r="A35" s="1325">
        <v>2</v>
      </c>
      <c r="B35" s="1322" t="s">
        <v>1131</v>
      </c>
      <c r="C35" s="1322"/>
      <c r="D35" s="1322"/>
      <c r="E35" s="3221"/>
      <c r="F35" s="3221"/>
      <c r="G35" s="3221"/>
    </row>
    <row r="36" spans="1:7" hidden="1">
      <c r="A36" s="1325">
        <v>3</v>
      </c>
      <c r="B36" s="1322" t="s">
        <v>1132</v>
      </c>
      <c r="C36" s="1322"/>
      <c r="D36" s="1322"/>
      <c r="E36" s="3221"/>
      <c r="F36" s="3221"/>
      <c r="G36" s="3221"/>
    </row>
    <row r="37" spans="1:7" hidden="1">
      <c r="A37" s="1325">
        <v>4</v>
      </c>
      <c r="B37" s="1322" t="s">
        <v>1133</v>
      </c>
      <c r="C37" s="1322"/>
      <c r="D37" s="1322"/>
      <c r="E37" s="3221"/>
      <c r="F37" s="3221"/>
      <c r="G37" s="3221"/>
    </row>
    <row r="38" spans="1:7" hidden="1">
      <c r="A38" s="3222" t="s">
        <v>1134</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2487</v>
      </c>
      <c r="C1" s="1631" t="s">
        <v>2488</v>
      </c>
      <c r="D1" s="1618"/>
      <c r="E1" s="2576"/>
      <c r="F1" s="2577" t="s">
        <v>2489</v>
      </c>
      <c r="G1" s="1628" t="s">
        <v>2490</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1392</v>
      </c>
      <c r="B2" s="1415" t="e">
        <f ca="1">IF(C2="——",ROUND(C49*D3/10000,0),ROUND(C49*D3/10000,0)-D2)</f>
        <v>#DIV/0!</v>
      </c>
      <c r="C2" s="2579"/>
      <c r="D2" s="1362" t="e">
        <f ca="1">SUMIF(INDIRECT("'"&amp;F2&amp;"'"&amp;"!A:A"),"承租人权益价值",INDIRECT("'"&amp;F2&amp;"'"&amp;"!c:c"))</f>
        <v>#REF!</v>
      </c>
      <c r="E2" s="2580" t="s">
        <v>2491</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1393</v>
      </c>
      <c r="B3" s="398" t="e">
        <f ca="1">IF(C2="——",C49,ROUND(B2*10000/D3,0))</f>
        <v>#DIV/0!</v>
      </c>
      <c r="C3" s="399" t="s">
        <v>2492</v>
      </c>
      <c r="D3" s="398">
        <f>IF(D1="",'数据-汇总表'!E3,SUMIF('数据-汇总表'!$C19:$C33,D1,'数据-汇总表'!$E19:$E33))</f>
        <v>120487.72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2493</v>
      </c>
      <c r="B4" s="401"/>
      <c r="C4" s="3243" t="s">
        <v>2494</v>
      </c>
      <c r="D4" s="3244"/>
      <c r="E4" s="3245" t="s">
        <v>2495</v>
      </c>
      <c r="F4" s="3246"/>
      <c r="G4" s="3243" t="s">
        <v>2496</v>
      </c>
      <c r="H4" s="3244"/>
      <c r="I4" s="3243" t="s">
        <v>2497</v>
      </c>
      <c r="J4" s="3244"/>
      <c r="K4" s="2589" t="s">
        <v>2498</v>
      </c>
      <c r="L4" s="1127"/>
      <c r="M4" s="1128"/>
      <c r="N4" s="1128"/>
      <c r="O4" s="1128"/>
      <c r="P4" s="3247" t="s">
        <v>2499</v>
      </c>
      <c r="Q4" s="3248"/>
      <c r="R4" s="3230" t="s">
        <v>2495</v>
      </c>
      <c r="S4" s="3231"/>
      <c r="T4" s="3230" t="s">
        <v>2496</v>
      </c>
      <c r="U4" s="3231"/>
      <c r="V4" s="3255" t="s">
        <v>2497</v>
      </c>
      <c r="W4" s="3255"/>
      <c r="X4" s="1810"/>
      <c r="Y4" s="3230" t="s">
        <v>2499</v>
      </c>
      <c r="Z4" s="3231"/>
      <c r="AA4" s="3225" t="s">
        <v>2495</v>
      </c>
      <c r="AB4" s="3225" t="s">
        <v>2496</v>
      </c>
      <c r="AC4" s="3225" t="s">
        <v>2497</v>
      </c>
    </row>
    <row r="5" spans="1:29" ht="15">
      <c r="A5" s="403"/>
      <c r="B5" s="404"/>
      <c r="C5" s="3236" t="s">
        <v>2500</v>
      </c>
      <c r="D5" s="3237"/>
      <c r="E5" s="3234" t="s">
        <v>2501</v>
      </c>
      <c r="F5" s="3235"/>
      <c r="G5" s="3236" t="s">
        <v>2502</v>
      </c>
      <c r="H5" s="3237"/>
      <c r="I5" s="3236" t="s">
        <v>2503</v>
      </c>
      <c r="J5" s="3237"/>
      <c r="K5" s="2590"/>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38" t="s">
        <v>2504</v>
      </c>
      <c r="D6" s="3239"/>
      <c r="E6" s="3240" t="s">
        <v>2504</v>
      </c>
      <c r="F6" s="3241"/>
      <c r="G6" s="3238" t="s">
        <v>2504</v>
      </c>
      <c r="H6" s="3239"/>
      <c r="I6" s="3238" t="s">
        <v>2504</v>
      </c>
      <c r="J6" s="3239"/>
      <c r="K6" s="2590"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28" t="s">
        <v>2507</v>
      </c>
      <c r="Q7" s="3256"/>
      <c r="R7" s="769" t="s">
        <v>23</v>
      </c>
      <c r="S7" s="770">
        <f t="shared" ref="S7:S15" si="0">F7</f>
        <v>0</v>
      </c>
      <c r="T7" s="769" t="s">
        <v>23</v>
      </c>
      <c r="U7" s="770">
        <f t="shared" ref="U7:U15" si="1">H7</f>
        <v>0</v>
      </c>
      <c r="V7" s="769" t="s">
        <v>23</v>
      </c>
      <c r="W7" s="770">
        <f t="shared" ref="W7:W15" si="2">J7</f>
        <v>0</v>
      </c>
      <c r="X7" s="771"/>
      <c r="Y7" s="3228" t="s">
        <v>2507</v>
      </c>
      <c r="Z7" s="3229"/>
      <c r="AA7" s="772" t="e">
        <f>D7/F7</f>
        <v>#DIV/0!</v>
      </c>
      <c r="AB7" s="772" t="e">
        <f>D7/H7</f>
        <v>#DIV/0!</v>
      </c>
      <c r="AC7" s="772" t="e">
        <f>D7/J7</f>
        <v>#DIV/0!</v>
      </c>
    </row>
    <row r="8" spans="1:29" s="117" customFormat="1" ht="15.75" thickBot="1">
      <c r="A8" s="407" t="s">
        <v>2508</v>
      </c>
      <c r="B8" s="408"/>
      <c r="C8" s="413" t="s">
        <v>2509</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28" t="s">
        <v>2510</v>
      </c>
      <c r="Q8" s="3229"/>
      <c r="R8" s="769" t="s">
        <v>23</v>
      </c>
      <c r="S8" s="770">
        <f t="shared" si="0"/>
        <v>0</v>
      </c>
      <c r="T8" s="769" t="s">
        <v>23</v>
      </c>
      <c r="U8" s="770">
        <f t="shared" si="1"/>
        <v>0</v>
      </c>
      <c r="V8" s="769" t="s">
        <v>23</v>
      </c>
      <c r="W8" s="770">
        <f t="shared" si="2"/>
        <v>0</v>
      </c>
      <c r="X8" s="771"/>
      <c r="Y8" s="3228" t="s">
        <v>2510</v>
      </c>
      <c r="Z8" s="3229"/>
      <c r="AA8" s="772" t="e">
        <f t="shared" ref="AA8:AA19" si="3">D8/F8</f>
        <v>#DIV/0!</v>
      </c>
      <c r="AB8" s="772" t="e">
        <f t="shared" ref="AB8:AB19" si="4">D8/H8</f>
        <v>#DIV/0!</v>
      </c>
      <c r="AC8" s="772" t="e">
        <f t="shared" ref="AC8:AC19" si="5">D8/J8</f>
        <v>#DIV/0!</v>
      </c>
    </row>
    <row r="9" spans="1:29" s="117" customFormat="1">
      <c r="A9" s="414" t="s">
        <v>2511</v>
      </c>
      <c r="B9" s="71" t="s">
        <v>2512</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42"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42"/>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42"/>
      <c r="Q11" s="1792" t="str">
        <f t="shared" si="6"/>
        <v>容积率</v>
      </c>
      <c r="R11" s="769" t="s">
        <v>21</v>
      </c>
      <c r="S11" s="770" t="e">
        <f t="shared" si="0"/>
        <v>#N/A</v>
      </c>
      <c r="T11" s="769" t="s">
        <v>21</v>
      </c>
      <c r="U11" s="770" t="e">
        <f t="shared" si="1"/>
        <v>#N/A</v>
      </c>
      <c r="V11" s="769" t="s">
        <v>21</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42"/>
      <c r="Q12" s="1792">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42"/>
      <c r="Q13" s="1792">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42"/>
      <c r="Q14" s="1792">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15">
      <c r="A15" s="439" t="s">
        <v>2517</v>
      </c>
      <c r="B15" s="69" t="s">
        <v>2051</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69" t="s">
        <v>2518</v>
      </c>
      <c r="Q15" s="1807" t="str">
        <f t="shared" si="6"/>
        <v>居住社区成熟度</v>
      </c>
      <c r="R15" s="773" t="s">
        <v>21</v>
      </c>
      <c r="S15" s="774">
        <f t="shared" si="0"/>
        <v>100</v>
      </c>
      <c r="T15" s="773" t="s">
        <v>21</v>
      </c>
      <c r="U15" s="774">
        <f t="shared" si="1"/>
        <v>100</v>
      </c>
      <c r="V15" s="773" t="s">
        <v>21</v>
      </c>
      <c r="W15" s="774">
        <f t="shared" si="2"/>
        <v>100</v>
      </c>
      <c r="X15" s="1810"/>
      <c r="Y15" s="3262" t="s">
        <v>2518</v>
      </c>
      <c r="Z15" s="1811" t="str">
        <f t="shared" si="7"/>
        <v>居住社区成熟度</v>
      </c>
      <c r="AA15" s="1808">
        <f t="shared" si="3"/>
        <v>1</v>
      </c>
      <c r="AB15" s="1808">
        <f t="shared" si="4"/>
        <v>1</v>
      </c>
      <c r="AC15" s="1808">
        <f t="shared" si="5"/>
        <v>1</v>
      </c>
    </row>
    <row r="16" spans="1:29" ht="15">
      <c r="A16" s="427"/>
      <c r="B16" s="445"/>
      <c r="C16" s="446"/>
      <c r="D16" s="447"/>
      <c r="E16" s="2597"/>
      <c r="F16" s="447"/>
      <c r="G16" s="2598"/>
      <c r="H16" s="449"/>
      <c r="I16" s="2598"/>
      <c r="J16" s="447"/>
      <c r="K16" s="2599"/>
      <c r="L16" s="1137"/>
      <c r="M16" s="1128"/>
      <c r="N16" s="1128"/>
      <c r="O16" s="1128"/>
      <c r="P16" s="3270"/>
      <c r="Q16" s="1807"/>
      <c r="R16" s="773"/>
      <c r="S16" s="774"/>
      <c r="T16" s="773"/>
      <c r="U16" s="774"/>
      <c r="V16" s="773"/>
      <c r="W16" s="774"/>
      <c r="X16" s="1810"/>
      <c r="Y16" s="3263"/>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70"/>
      <c r="Q17" s="1807" t="str">
        <f>B17</f>
        <v>交通便捷度</v>
      </c>
      <c r="R17" s="773" t="s">
        <v>21</v>
      </c>
      <c r="S17" s="774">
        <f>F17</f>
        <v>100</v>
      </c>
      <c r="T17" s="773" t="s">
        <v>21</v>
      </c>
      <c r="U17" s="774">
        <f>H17</f>
        <v>100</v>
      </c>
      <c r="V17" s="773" t="s">
        <v>21</v>
      </c>
      <c r="W17" s="774">
        <f>J17</f>
        <v>100</v>
      </c>
      <c r="X17" s="1810"/>
      <c r="Y17" s="3263"/>
      <c r="Z17" s="1811" t="str">
        <f>Q17</f>
        <v>交通便捷度</v>
      </c>
      <c r="AA17" s="1808">
        <f t="shared" si="3"/>
        <v>1</v>
      </c>
      <c r="AB17" s="1808">
        <f t="shared" si="4"/>
        <v>1</v>
      </c>
      <c r="AC17" s="1808">
        <f t="shared" si="5"/>
        <v>1</v>
      </c>
    </row>
    <row r="18" spans="1:29" ht="15">
      <c r="A18" s="427"/>
      <c r="B18" s="455"/>
      <c r="C18" s="2601"/>
      <c r="D18" s="449"/>
      <c r="E18" s="2602"/>
      <c r="F18" s="449"/>
      <c r="G18" s="2603"/>
      <c r="H18" s="447"/>
      <c r="I18" s="2603"/>
      <c r="J18" s="447"/>
      <c r="K18" s="2599"/>
      <c r="L18" s="1137"/>
      <c r="M18" s="1128"/>
      <c r="N18" s="1128"/>
      <c r="O18" s="1128"/>
      <c r="P18" s="3270"/>
      <c r="Q18" s="1807"/>
      <c r="R18" s="773"/>
      <c r="S18" s="774"/>
      <c r="T18" s="773"/>
      <c r="U18" s="774"/>
      <c r="V18" s="773"/>
      <c r="W18" s="774"/>
      <c r="X18" s="1810"/>
      <c r="Y18" s="3263"/>
      <c r="Z18" s="1811"/>
      <c r="AA18" s="1808">
        <v>1</v>
      </c>
      <c r="AB18" s="1808">
        <v>1</v>
      </c>
      <c r="AC18" s="1808">
        <v>1</v>
      </c>
    </row>
    <row r="19" spans="1:29" ht="42.75">
      <c r="A19" s="427"/>
      <c r="B19" s="450" t="s">
        <v>2056</v>
      </c>
      <c r="C19" s="260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70"/>
      <c r="Q19" s="1807" t="str">
        <f>B19</f>
        <v>公共配套设施</v>
      </c>
      <c r="R19" s="773" t="s">
        <v>21</v>
      </c>
      <c r="S19" s="774">
        <f>F19</f>
        <v>100</v>
      </c>
      <c r="T19" s="773" t="s">
        <v>21</v>
      </c>
      <c r="U19" s="774">
        <f>H19</f>
        <v>100</v>
      </c>
      <c r="V19" s="773" t="s">
        <v>21</v>
      </c>
      <c r="W19" s="774">
        <f>J19</f>
        <v>100</v>
      </c>
      <c r="X19" s="1810"/>
      <c r="Y19" s="3263"/>
      <c r="Z19" s="1811" t="str">
        <f>Q19</f>
        <v>公共配套设施</v>
      </c>
      <c r="AA19" s="1808">
        <f t="shared" si="3"/>
        <v>1</v>
      </c>
      <c r="AB19" s="1808">
        <f t="shared" si="4"/>
        <v>1</v>
      </c>
      <c r="AC19" s="1808">
        <f t="shared" si="5"/>
        <v>1</v>
      </c>
    </row>
    <row r="20" spans="1:29" ht="15">
      <c r="A20" s="427"/>
      <c r="B20" s="455"/>
      <c r="C20" s="446"/>
      <c r="D20" s="447"/>
      <c r="E20" s="2597"/>
      <c r="F20" s="447"/>
      <c r="G20" s="2598"/>
      <c r="H20" s="447"/>
      <c r="I20" s="2598"/>
      <c r="J20" s="447"/>
      <c r="K20" s="2599"/>
      <c r="L20" s="1137"/>
      <c r="M20" s="1128"/>
      <c r="N20" s="1128"/>
      <c r="O20" s="1128"/>
      <c r="P20" s="3270"/>
      <c r="Q20" s="1807"/>
      <c r="R20" s="773"/>
      <c r="S20" s="774"/>
      <c r="T20" s="773"/>
      <c r="U20" s="774"/>
      <c r="V20" s="773"/>
      <c r="W20" s="774"/>
      <c r="X20" s="1810"/>
      <c r="Y20" s="3263"/>
      <c r="Z20" s="1811"/>
      <c r="AA20" s="1808">
        <v>1</v>
      </c>
      <c r="AB20" s="1808">
        <v>1</v>
      </c>
      <c r="AC20" s="1808">
        <v>1</v>
      </c>
    </row>
    <row r="21" spans="1:29" ht="42.75">
      <c r="A21" s="427"/>
      <c r="B21" s="1381" t="s">
        <v>2058</v>
      </c>
      <c r="C21" s="2600"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70"/>
      <c r="Q21" s="1807" t="str">
        <f>B21</f>
        <v>基础设施水平</v>
      </c>
      <c r="R21" s="773" t="s">
        <v>17</v>
      </c>
      <c r="S21" s="774">
        <f>F21</f>
        <v>100</v>
      </c>
      <c r="T21" s="773" t="s">
        <v>17</v>
      </c>
      <c r="U21" s="774">
        <f>H21</f>
        <v>100</v>
      </c>
      <c r="V21" s="773" t="s">
        <v>17</v>
      </c>
      <c r="W21" s="774">
        <f>J21</f>
        <v>100</v>
      </c>
      <c r="X21" s="1810"/>
      <c r="Y21" s="3263"/>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7"/>
      <c r="G22" s="2604"/>
      <c r="H22" s="447"/>
      <c r="I22" s="446"/>
      <c r="J22" s="447"/>
      <c r="K22" s="2605"/>
      <c r="L22" s="1137"/>
      <c r="M22" s="1128"/>
      <c r="N22" s="1128"/>
      <c r="O22" s="1128"/>
      <c r="P22" s="3270"/>
      <c r="Q22" s="1807"/>
      <c r="R22" s="773"/>
      <c r="S22" s="774"/>
      <c r="T22" s="773"/>
      <c r="U22" s="774"/>
      <c r="V22" s="773"/>
      <c r="W22" s="774"/>
      <c r="X22" s="1810"/>
      <c r="Y22" s="3263"/>
      <c r="Z22" s="1811"/>
      <c r="AA22" s="1808">
        <v>1</v>
      </c>
      <c r="AB22" s="1808">
        <v>1</v>
      </c>
      <c r="AC22" s="1808">
        <v>1</v>
      </c>
    </row>
    <row r="23" spans="1:29" ht="57">
      <c r="A23" s="427"/>
      <c r="B23" s="450" t="s">
        <v>2060</v>
      </c>
      <c r="C23" s="2600" t="str">
        <f>估价对象房地状况!C9</f>
        <v>区域自然环境及人文环境好；综合评价环境状况较好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70"/>
      <c r="Q23" s="1807" t="str">
        <f>B23</f>
        <v>自然及人文环境</v>
      </c>
      <c r="R23" s="773" t="s">
        <v>21</v>
      </c>
      <c r="S23" s="774">
        <f>F23</f>
        <v>100</v>
      </c>
      <c r="T23" s="773" t="s">
        <v>21</v>
      </c>
      <c r="U23" s="774">
        <f>H23</f>
        <v>100</v>
      </c>
      <c r="V23" s="773" t="s">
        <v>21</v>
      </c>
      <c r="W23" s="774">
        <f>J23</f>
        <v>100</v>
      </c>
      <c r="X23" s="1810"/>
      <c r="Y23" s="3263"/>
      <c r="Z23" s="1811" t="str">
        <f>Q23</f>
        <v>自然及人文环境</v>
      </c>
      <c r="AA23" s="1808">
        <f>D23/F23</f>
        <v>1</v>
      </c>
      <c r="AB23" s="1808">
        <f>D23/H23</f>
        <v>1</v>
      </c>
      <c r="AC23" s="1808">
        <f>D23/J23</f>
        <v>1</v>
      </c>
    </row>
    <row r="24" spans="1:29" ht="15">
      <c r="A24" s="427"/>
      <c r="B24" s="455"/>
      <c r="C24" s="446"/>
      <c r="D24" s="447"/>
      <c r="E24" s="2597"/>
      <c r="F24" s="447"/>
      <c r="G24" s="2598"/>
      <c r="H24" s="447"/>
      <c r="I24" s="2598"/>
      <c r="J24" s="447"/>
      <c r="K24" s="2599"/>
      <c r="L24" s="1137"/>
      <c r="M24" s="1128"/>
      <c r="N24" s="1128"/>
      <c r="O24" s="1128"/>
      <c r="P24" s="3270"/>
      <c r="Q24" s="1807"/>
      <c r="R24" s="773"/>
      <c r="S24" s="774"/>
      <c r="T24" s="773"/>
      <c r="U24" s="774"/>
      <c r="V24" s="773"/>
      <c r="W24" s="774"/>
      <c r="X24" s="1810"/>
      <c r="Y24" s="3263"/>
      <c r="Z24" s="1811"/>
      <c r="AA24" s="1808">
        <v>1</v>
      </c>
      <c r="AB24" s="1808">
        <v>1</v>
      </c>
      <c r="AC24" s="1808">
        <v>1</v>
      </c>
    </row>
    <row r="25" spans="1:29" ht="15">
      <c r="A25" s="427"/>
      <c r="B25" s="421" t="s">
        <v>2519</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270"/>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63"/>
      <c r="Z25" s="1811" t="str">
        <f>Q25</f>
        <v>楼层-1</v>
      </c>
      <c r="AA25" s="1808">
        <f t="shared" ref="AA25:AA46" si="15">D25/F25</f>
        <v>1</v>
      </c>
      <c r="AB25" s="1808">
        <f t="shared" ref="AB25:AB46" si="16">D25/H25</f>
        <v>1</v>
      </c>
      <c r="AC25" s="1808">
        <f t="shared" ref="AC25:AC46" si="17">D25/J25</f>
        <v>1</v>
      </c>
    </row>
    <row r="26" spans="1:29" ht="15">
      <c r="A26" s="427"/>
      <c r="B26" s="421" t="s">
        <v>2520</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270"/>
      <c r="Q26" s="1807" t="str">
        <f t="shared" si="11"/>
        <v>朝向</v>
      </c>
      <c r="R26" s="773" t="s">
        <v>21</v>
      </c>
      <c r="S26" s="774">
        <f t="shared" si="12"/>
        <v>100</v>
      </c>
      <c r="T26" s="773" t="s">
        <v>21</v>
      </c>
      <c r="U26" s="774">
        <f t="shared" si="13"/>
        <v>100</v>
      </c>
      <c r="V26" s="773" t="s">
        <v>21</v>
      </c>
      <c r="W26" s="774">
        <f t="shared" si="14"/>
        <v>100</v>
      </c>
      <c r="X26" s="1810"/>
      <c r="Y26" s="3263"/>
      <c r="Z26" s="1811" t="str">
        <f>Q26</f>
        <v>朝向</v>
      </c>
      <c r="AA26" s="1808">
        <f t="shared" si="15"/>
        <v>1</v>
      </c>
      <c r="AB26" s="1808">
        <f t="shared" si="16"/>
        <v>1</v>
      </c>
      <c r="AC26" s="1808">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270"/>
      <c r="Q27" s="1792">
        <f t="shared" si="11"/>
        <v>111</v>
      </c>
      <c r="R27" s="769" t="s">
        <v>21</v>
      </c>
      <c r="S27" s="770">
        <f t="shared" si="12"/>
        <v>100</v>
      </c>
      <c r="T27" s="769" t="s">
        <v>21</v>
      </c>
      <c r="U27" s="770">
        <f t="shared" si="13"/>
        <v>100</v>
      </c>
      <c r="V27" s="769" t="s">
        <v>21</v>
      </c>
      <c r="W27" s="770">
        <f t="shared" si="14"/>
        <v>100</v>
      </c>
      <c r="X27" s="771"/>
      <c r="Y27" s="3263"/>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270"/>
      <c r="Q28" s="1807">
        <f t="shared" si="11"/>
        <v>111</v>
      </c>
      <c r="R28" s="773" t="s">
        <v>21</v>
      </c>
      <c r="S28" s="774">
        <f t="shared" si="12"/>
        <v>100</v>
      </c>
      <c r="T28" s="773" t="s">
        <v>21</v>
      </c>
      <c r="U28" s="774">
        <f t="shared" si="13"/>
        <v>100</v>
      </c>
      <c r="V28" s="773" t="s">
        <v>21</v>
      </c>
      <c r="W28" s="774">
        <f t="shared" si="14"/>
        <v>100</v>
      </c>
      <c r="X28" s="1810"/>
      <c r="Y28" s="3263"/>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270"/>
      <c r="Q29" s="1807">
        <f t="shared" si="11"/>
        <v>111</v>
      </c>
      <c r="R29" s="773" t="s">
        <v>21</v>
      </c>
      <c r="S29" s="774">
        <f t="shared" si="12"/>
        <v>100</v>
      </c>
      <c r="T29" s="773" t="s">
        <v>21</v>
      </c>
      <c r="U29" s="774">
        <f t="shared" si="13"/>
        <v>100</v>
      </c>
      <c r="V29" s="773" t="s">
        <v>21</v>
      </c>
      <c r="W29" s="774">
        <f t="shared" si="14"/>
        <v>100</v>
      </c>
      <c r="X29" s="1810"/>
      <c r="Y29" s="3263"/>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270"/>
      <c r="Q30" s="1807">
        <f t="shared" si="11"/>
        <v>111</v>
      </c>
      <c r="R30" s="773" t="s">
        <v>21</v>
      </c>
      <c r="S30" s="774">
        <f t="shared" si="12"/>
        <v>100</v>
      </c>
      <c r="T30" s="773" t="s">
        <v>21</v>
      </c>
      <c r="U30" s="774">
        <f t="shared" si="13"/>
        <v>100</v>
      </c>
      <c r="V30" s="773" t="s">
        <v>21</v>
      </c>
      <c r="W30" s="774">
        <f t="shared" si="14"/>
        <v>100</v>
      </c>
      <c r="X30" s="1810"/>
      <c r="Y30" s="3263"/>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270"/>
      <c r="Q31" s="1807">
        <f t="shared" si="11"/>
        <v>111</v>
      </c>
      <c r="R31" s="773" t="s">
        <v>21</v>
      </c>
      <c r="S31" s="774">
        <f t="shared" si="12"/>
        <v>100</v>
      </c>
      <c r="T31" s="773" t="s">
        <v>21</v>
      </c>
      <c r="U31" s="774">
        <f t="shared" si="13"/>
        <v>100</v>
      </c>
      <c r="V31" s="773" t="s">
        <v>21</v>
      </c>
      <c r="W31" s="774">
        <f t="shared" si="14"/>
        <v>100</v>
      </c>
      <c r="X31" s="1810"/>
      <c r="Y31" s="3263"/>
      <c r="Z31" s="1811">
        <f t="shared" si="18"/>
        <v>111</v>
      </c>
      <c r="AA31" s="1808">
        <f t="shared" si="15"/>
        <v>1</v>
      </c>
      <c r="AB31" s="1808">
        <f t="shared" si="16"/>
        <v>1</v>
      </c>
      <c r="AC31" s="1808">
        <f t="shared" si="17"/>
        <v>1</v>
      </c>
    </row>
    <row r="32" spans="1:29" ht="15">
      <c r="A32" s="439" t="s">
        <v>2521</v>
      </c>
      <c r="B32" s="71" t="s">
        <v>2522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64" t="s">
        <v>2523</v>
      </c>
      <c r="Q32" s="1807" t="str">
        <f t="shared" si="11"/>
        <v>建筑类型</v>
      </c>
      <c r="R32" s="773" t="s">
        <v>21</v>
      </c>
      <c r="S32" s="774">
        <f t="shared" si="12"/>
        <v>100</v>
      </c>
      <c r="T32" s="773" t="s">
        <v>21</v>
      </c>
      <c r="U32" s="774">
        <f t="shared" si="13"/>
        <v>100</v>
      </c>
      <c r="V32" s="773" t="s">
        <v>21</v>
      </c>
      <c r="W32" s="774">
        <f t="shared" si="14"/>
        <v>100</v>
      </c>
      <c r="X32" s="1810"/>
      <c r="Y32" s="3267" t="s">
        <v>2523</v>
      </c>
      <c r="Z32" s="1811" t="str">
        <f t="shared" si="18"/>
        <v>建筑类型</v>
      </c>
      <c r="AA32" s="1808">
        <f t="shared" si="15"/>
        <v>1</v>
      </c>
      <c r="AB32" s="1808">
        <f t="shared" si="16"/>
        <v>1</v>
      </c>
      <c r="AC32" s="1808">
        <f t="shared" si="17"/>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65"/>
      <c r="Q33" s="775" t="str">
        <f t="shared" si="11"/>
        <v>项目建筑规模</v>
      </c>
      <c r="R33" s="776" t="s">
        <v>21</v>
      </c>
      <c r="S33" s="777" t="e">
        <f t="shared" si="12"/>
        <v>#N/A</v>
      </c>
      <c r="T33" s="776" t="s">
        <v>21</v>
      </c>
      <c r="U33" s="777" t="e">
        <f t="shared" si="13"/>
        <v>#N/A</v>
      </c>
      <c r="V33" s="776" t="s">
        <v>21</v>
      </c>
      <c r="W33" s="777" t="e">
        <f t="shared" si="14"/>
        <v>#N/A</v>
      </c>
      <c r="X33" s="778"/>
      <c r="Y33" s="3267"/>
      <c r="Z33" s="779" t="str">
        <f t="shared" si="18"/>
        <v>项目建筑规模</v>
      </c>
      <c r="AA33" s="1808" t="e">
        <f t="shared" si="15"/>
        <v>#N/A</v>
      </c>
      <c r="AB33" s="1808" t="e">
        <f t="shared" si="16"/>
        <v>#N/A</v>
      </c>
      <c r="AC33" s="1808" t="e">
        <f t="shared" si="17"/>
        <v>#N/A</v>
      </c>
    </row>
    <row r="34" spans="1:29" ht="15">
      <c r="A34" s="471"/>
      <c r="B34" s="421" t="s">
        <v>2525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65"/>
      <c r="Q34" s="1807" t="str">
        <f t="shared" si="11"/>
        <v>建筑结构</v>
      </c>
      <c r="R34" s="773" t="s">
        <v>21</v>
      </c>
      <c r="S34" s="774">
        <f t="shared" si="12"/>
        <v>100</v>
      </c>
      <c r="T34" s="773" t="s">
        <v>21</v>
      </c>
      <c r="U34" s="774">
        <f t="shared" si="13"/>
        <v>100</v>
      </c>
      <c r="V34" s="773" t="s">
        <v>21</v>
      </c>
      <c r="W34" s="774">
        <f t="shared" si="14"/>
        <v>100</v>
      </c>
      <c r="X34" s="1810"/>
      <c r="Y34" s="3267"/>
      <c r="Z34" s="1811" t="str">
        <f t="shared" si="18"/>
        <v>建筑结构</v>
      </c>
      <c r="AA34" s="1808">
        <f t="shared" si="15"/>
        <v>1</v>
      </c>
      <c r="AB34" s="1808">
        <f t="shared" si="16"/>
        <v>1</v>
      </c>
      <c r="AC34" s="1808">
        <f t="shared" si="17"/>
        <v>1</v>
      </c>
    </row>
    <row r="35" spans="1:29" ht="15">
      <c r="A35" s="471"/>
      <c r="B35" s="421" t="s">
        <v>2526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65"/>
      <c r="Q35" s="1807" t="str">
        <f t="shared" si="11"/>
        <v>建筑品质</v>
      </c>
      <c r="R35" s="773" t="s">
        <v>21</v>
      </c>
      <c r="S35" s="774">
        <f t="shared" si="12"/>
        <v>100</v>
      </c>
      <c r="T35" s="773" t="s">
        <v>21</v>
      </c>
      <c r="U35" s="774">
        <f t="shared" si="13"/>
        <v>100</v>
      </c>
      <c r="V35" s="773" t="s">
        <v>21</v>
      </c>
      <c r="W35" s="774">
        <f t="shared" si="14"/>
        <v>100</v>
      </c>
      <c r="X35" s="1810"/>
      <c r="Y35" s="3267"/>
      <c r="Z35" s="1811" t="str">
        <f t="shared" si="18"/>
        <v>建筑品质</v>
      </c>
      <c r="AA35" s="1808">
        <f t="shared" si="15"/>
        <v>1</v>
      </c>
      <c r="AB35" s="1808">
        <f t="shared" si="16"/>
        <v>1</v>
      </c>
      <c r="AC35" s="1808">
        <f t="shared" si="17"/>
        <v>1</v>
      </c>
    </row>
    <row r="36" spans="1:29" ht="15">
      <c r="A36" s="471"/>
      <c r="B36" s="421" t="s">
        <v>2527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65"/>
      <c r="Q36" s="1807" t="str">
        <f t="shared" si="11"/>
        <v>公共部分装修</v>
      </c>
      <c r="R36" s="773" t="s">
        <v>21</v>
      </c>
      <c r="S36" s="774">
        <f t="shared" si="12"/>
        <v>100</v>
      </c>
      <c r="T36" s="773" t="s">
        <v>21</v>
      </c>
      <c r="U36" s="774">
        <f t="shared" si="13"/>
        <v>100</v>
      </c>
      <c r="V36" s="773" t="s">
        <v>21</v>
      </c>
      <c r="W36" s="774">
        <f t="shared" si="14"/>
        <v>100</v>
      </c>
      <c r="X36" s="1810"/>
      <c r="Y36" s="3267"/>
      <c r="Z36" s="1811" t="str">
        <f t="shared" si="18"/>
        <v>公共部分装修</v>
      </c>
      <c r="AA36" s="1808">
        <f t="shared" si="15"/>
        <v>1</v>
      </c>
      <c r="AB36" s="1808">
        <f t="shared" si="16"/>
        <v>1</v>
      </c>
      <c r="AC36" s="1808">
        <f t="shared" si="17"/>
        <v>1</v>
      </c>
    </row>
    <row r="37" spans="1:29" s="117" customFormat="1" ht="15">
      <c r="A37" s="472"/>
      <c r="B37" s="421" t="s">
        <v>2528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65"/>
      <c r="Q37" s="1792" t="str">
        <f t="shared" si="11"/>
        <v>成新度</v>
      </c>
      <c r="R37" s="769" t="s">
        <v>21</v>
      </c>
      <c r="S37" s="770" t="e">
        <f t="shared" si="12"/>
        <v>#N/A</v>
      </c>
      <c r="T37" s="769" t="s">
        <v>21</v>
      </c>
      <c r="U37" s="770" t="e">
        <f t="shared" si="13"/>
        <v>#N/A</v>
      </c>
      <c r="V37" s="769" t="s">
        <v>21</v>
      </c>
      <c r="W37" s="770" t="e">
        <f t="shared" si="14"/>
        <v>#N/A</v>
      </c>
      <c r="X37" s="771"/>
      <c r="Y37" s="3267"/>
      <c r="Z37" s="55" t="str">
        <f t="shared" si="18"/>
        <v>成新度</v>
      </c>
      <c r="AA37" s="772" t="e">
        <f t="shared" si="15"/>
        <v>#N/A</v>
      </c>
      <c r="AB37" s="772" t="e">
        <f t="shared" si="16"/>
        <v>#N/A</v>
      </c>
      <c r="AC37" s="772" t="e">
        <f t="shared" si="17"/>
        <v>#N/A</v>
      </c>
    </row>
    <row r="38" spans="1:29" ht="15">
      <c r="A38" s="471"/>
      <c r="B38" s="421" t="s">
        <v>2529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65" t="s">
        <v>2523</v>
      </c>
      <c r="Q38" s="1807" t="str">
        <f t="shared" si="11"/>
        <v>物业管理</v>
      </c>
      <c r="R38" s="773" t="s">
        <v>21</v>
      </c>
      <c r="S38" s="774">
        <f t="shared" si="12"/>
        <v>100</v>
      </c>
      <c r="T38" s="773" t="s">
        <v>21</v>
      </c>
      <c r="U38" s="774">
        <f t="shared" si="13"/>
        <v>100</v>
      </c>
      <c r="V38" s="773" t="s">
        <v>21</v>
      </c>
      <c r="W38" s="774">
        <f t="shared" si="14"/>
        <v>100</v>
      </c>
      <c r="X38" s="1810"/>
      <c r="Y38" s="3267" t="s">
        <v>2523</v>
      </c>
      <c r="Z38" s="1811" t="str">
        <f t="shared" si="18"/>
        <v>物业管理</v>
      </c>
      <c r="AA38" s="1808">
        <f t="shared" si="15"/>
        <v>1</v>
      </c>
      <c r="AB38" s="1808">
        <f t="shared" si="16"/>
        <v>1</v>
      </c>
      <c r="AC38" s="1808">
        <f t="shared" si="17"/>
        <v>1</v>
      </c>
    </row>
    <row r="39" spans="1:29" ht="15">
      <c r="A39" s="471"/>
      <c r="B39" s="421" t="s">
        <v>2530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65"/>
      <c r="Q39" s="1807" t="str">
        <f t="shared" si="11"/>
        <v>市政基础设施</v>
      </c>
      <c r="R39" s="773" t="s">
        <v>21</v>
      </c>
      <c r="S39" s="774">
        <f t="shared" si="12"/>
        <v>100</v>
      </c>
      <c r="T39" s="773" t="s">
        <v>21</v>
      </c>
      <c r="U39" s="774">
        <f t="shared" si="13"/>
        <v>100</v>
      </c>
      <c r="V39" s="773" t="s">
        <v>21</v>
      </c>
      <c r="W39" s="774">
        <f t="shared" si="14"/>
        <v>100</v>
      </c>
      <c r="X39" s="1810"/>
      <c r="Y39" s="3267"/>
      <c r="Z39" s="1811" t="str">
        <f t="shared" si="18"/>
        <v>市政基础设施</v>
      </c>
      <c r="AA39" s="1808">
        <f t="shared" si="15"/>
        <v>1</v>
      </c>
      <c r="AB39" s="1808">
        <f t="shared" si="16"/>
        <v>1</v>
      </c>
      <c r="AC39" s="1808">
        <f t="shared" si="17"/>
        <v>1</v>
      </c>
    </row>
    <row r="40" spans="1:29" ht="15">
      <c r="A40" s="471"/>
      <c r="B40" s="421" t="s">
        <v>2531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65"/>
      <c r="Q40" s="1807" t="str">
        <f t="shared" si="11"/>
        <v>房型</v>
      </c>
      <c r="R40" s="773" t="s">
        <v>21</v>
      </c>
      <c r="S40" s="774">
        <f t="shared" si="12"/>
        <v>100</v>
      </c>
      <c r="T40" s="773" t="s">
        <v>21</v>
      </c>
      <c r="U40" s="774">
        <f t="shared" si="13"/>
        <v>100</v>
      </c>
      <c r="V40" s="773" t="s">
        <v>21</v>
      </c>
      <c r="W40" s="774">
        <f t="shared" si="14"/>
        <v>100</v>
      </c>
      <c r="X40" s="1810"/>
      <c r="Y40" s="3267"/>
      <c r="Z40" s="1811" t="str">
        <f t="shared" si="18"/>
        <v>房型</v>
      </c>
      <c r="AA40" s="1808">
        <f t="shared" si="15"/>
        <v>1</v>
      </c>
      <c r="AB40" s="1808">
        <f t="shared" si="16"/>
        <v>1</v>
      </c>
      <c r="AC40" s="1808">
        <f t="shared" si="17"/>
        <v>1</v>
      </c>
    </row>
    <row r="41" spans="1:29" s="470" customFormat="1" ht="28.5">
      <c r="A41" s="467"/>
      <c r="B41" s="421" t="s">
        <v>2532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65"/>
      <c r="Q41" s="775" t="str">
        <f t="shared" si="11"/>
        <v>单套/主力户型建筑面积</v>
      </c>
      <c r="R41" s="776" t="s">
        <v>21</v>
      </c>
      <c r="S41" s="777">
        <f t="shared" si="12"/>
        <v>100</v>
      </c>
      <c r="T41" s="776" t="s">
        <v>21</v>
      </c>
      <c r="U41" s="777">
        <f t="shared" si="13"/>
        <v>100</v>
      </c>
      <c r="V41" s="776" t="s">
        <v>21</v>
      </c>
      <c r="W41" s="777">
        <f t="shared" si="14"/>
        <v>100</v>
      </c>
      <c r="X41" s="778"/>
      <c r="Y41" s="3267"/>
      <c r="Z41" s="779" t="str">
        <f t="shared" si="18"/>
        <v>单套/主力户型建筑面积</v>
      </c>
      <c r="AA41" s="1808">
        <f t="shared" si="15"/>
        <v>1</v>
      </c>
      <c r="AB41" s="1808">
        <f t="shared" si="16"/>
        <v>1</v>
      </c>
      <c r="AC41" s="1808">
        <f t="shared" si="17"/>
        <v>1</v>
      </c>
    </row>
    <row r="42" spans="1:29" ht="15">
      <c r="A42" s="471"/>
      <c r="B42" s="421" t="s">
        <v>2533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65"/>
      <c r="Q42" s="1807" t="str">
        <f t="shared" si="11"/>
        <v>内部装修</v>
      </c>
      <c r="R42" s="773" t="s">
        <v>21</v>
      </c>
      <c r="S42" s="774">
        <f t="shared" si="12"/>
        <v>100</v>
      </c>
      <c r="T42" s="773" t="s">
        <v>21</v>
      </c>
      <c r="U42" s="774">
        <f t="shared" si="13"/>
        <v>100</v>
      </c>
      <c r="V42" s="773" t="s">
        <v>21</v>
      </c>
      <c r="W42" s="774">
        <f t="shared" si="14"/>
        <v>100</v>
      </c>
      <c r="X42" s="1810"/>
      <c r="Y42" s="3267"/>
      <c r="Z42" s="1811" t="str">
        <f t="shared" si="18"/>
        <v>内部装修</v>
      </c>
      <c r="AA42" s="1808">
        <f t="shared" si="15"/>
        <v>1</v>
      </c>
      <c r="AB42" s="1808">
        <f t="shared" si="16"/>
        <v>1</v>
      </c>
      <c r="AC42" s="1808">
        <f t="shared" si="17"/>
        <v>1</v>
      </c>
    </row>
    <row r="43" spans="1:29" ht="15">
      <c r="A43" s="471"/>
      <c r="B43" s="421" t="s">
        <v>2534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65"/>
      <c r="Q43" s="1807" t="str">
        <f t="shared" si="11"/>
        <v>内部装修维护情况</v>
      </c>
      <c r="R43" s="773" t="s">
        <v>21</v>
      </c>
      <c r="S43" s="774">
        <f t="shared" si="12"/>
        <v>100</v>
      </c>
      <c r="T43" s="773" t="s">
        <v>21</v>
      </c>
      <c r="U43" s="774">
        <f t="shared" si="13"/>
        <v>100</v>
      </c>
      <c r="V43" s="773" t="s">
        <v>21</v>
      </c>
      <c r="W43" s="774">
        <f t="shared" si="14"/>
        <v>100</v>
      </c>
      <c r="X43" s="1810"/>
      <c r="Y43" s="3267"/>
      <c r="Z43" s="1811" t="str">
        <f t="shared" si="18"/>
        <v>内部装修维护情况</v>
      </c>
      <c r="AA43" s="1808">
        <f t="shared" si="15"/>
        <v>1</v>
      </c>
      <c r="AB43" s="1808">
        <f t="shared" si="16"/>
        <v>1</v>
      </c>
      <c r="AC43" s="1808">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65"/>
      <c r="Q44" s="1792">
        <f t="shared" si="11"/>
        <v>111</v>
      </c>
      <c r="R44" s="769" t="s">
        <v>21</v>
      </c>
      <c r="S44" s="770">
        <f t="shared" si="12"/>
        <v>100</v>
      </c>
      <c r="T44" s="769" t="s">
        <v>21</v>
      </c>
      <c r="U44" s="770">
        <f t="shared" si="13"/>
        <v>100</v>
      </c>
      <c r="V44" s="769" t="s">
        <v>21</v>
      </c>
      <c r="W44" s="770">
        <f t="shared" si="14"/>
        <v>100</v>
      </c>
      <c r="X44" s="771"/>
      <c r="Y44" s="3267"/>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65"/>
      <c r="Q45" s="1807">
        <f t="shared" si="11"/>
        <v>111</v>
      </c>
      <c r="R45" s="773" t="s">
        <v>21</v>
      </c>
      <c r="S45" s="774">
        <f t="shared" si="12"/>
        <v>100</v>
      </c>
      <c r="T45" s="773" t="s">
        <v>21</v>
      </c>
      <c r="U45" s="774">
        <f t="shared" si="13"/>
        <v>100</v>
      </c>
      <c r="V45" s="773" t="s">
        <v>21</v>
      </c>
      <c r="W45" s="774">
        <f t="shared" si="14"/>
        <v>100</v>
      </c>
      <c r="X45" s="1810"/>
      <c r="Y45" s="3267"/>
      <c r="Z45" s="1811">
        <f t="shared" si="18"/>
        <v>111</v>
      </c>
      <c r="AA45" s="1808">
        <f t="shared" si="15"/>
        <v>1</v>
      </c>
      <c r="AB45" s="1808">
        <f t="shared" si="16"/>
        <v>1</v>
      </c>
      <c r="AC45" s="1808">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66"/>
      <c r="Q46" s="1807">
        <f t="shared" si="11"/>
        <v>111</v>
      </c>
      <c r="R46" s="773" t="s">
        <v>20</v>
      </c>
      <c r="S46" s="774">
        <f t="shared" si="12"/>
        <v>100</v>
      </c>
      <c r="T46" s="773" t="s">
        <v>20</v>
      </c>
      <c r="U46" s="774">
        <f t="shared" si="13"/>
        <v>100</v>
      </c>
      <c r="V46" s="773" t="s">
        <v>20</v>
      </c>
      <c r="W46" s="774">
        <f t="shared" si="14"/>
        <v>100</v>
      </c>
      <c r="X46" s="1810"/>
      <c r="Y46" s="3268"/>
      <c r="Z46" s="1811">
        <f t="shared" si="18"/>
        <v>111</v>
      </c>
      <c r="AA46" s="1808">
        <f t="shared" si="15"/>
        <v>1</v>
      </c>
      <c r="AB46" s="1808">
        <f t="shared" si="16"/>
        <v>1</v>
      </c>
      <c r="AC46" s="1808">
        <f t="shared" si="17"/>
        <v>1</v>
      </c>
    </row>
    <row r="47" spans="1:29" ht="15">
      <c r="A47" s="478" t="s">
        <v>2535</v>
      </c>
      <c r="B47" s="479"/>
      <c r="C47" s="1404" t="s">
        <v>19</v>
      </c>
      <c r="D47" s="1405"/>
      <c r="E47" s="1406"/>
      <c r="F47" s="1407"/>
      <c r="G47" s="1408"/>
      <c r="H47" s="1409"/>
      <c r="I47" s="1406"/>
      <c r="J47" s="1409"/>
      <c r="K47" s="2614"/>
      <c r="L47" s="1140"/>
      <c r="M47" s="1141"/>
      <c r="N47" s="1128"/>
      <c r="O47" s="1141"/>
      <c r="P47" s="3260" t="str">
        <f>A47</f>
        <v>成交单价（元/平方米）</v>
      </c>
      <c r="Q47" s="3260"/>
      <c r="R47" s="3261">
        <f>E47</f>
        <v>0</v>
      </c>
      <c r="S47" s="3261"/>
      <c r="T47" s="3261">
        <f>G47</f>
        <v>0</v>
      </c>
      <c r="U47" s="3261"/>
      <c r="V47" s="3261">
        <f>I47</f>
        <v>0</v>
      </c>
      <c r="W47" s="3261"/>
      <c r="X47" s="758"/>
      <c r="Y47" s="780"/>
      <c r="Z47" s="758"/>
      <c r="AA47" s="758"/>
      <c r="AB47" s="758"/>
      <c r="AC47" s="758"/>
    </row>
    <row r="48" spans="1:29" ht="15.75" thickBot="1">
      <c r="A48" s="485" t="s">
        <v>2536</v>
      </c>
      <c r="B48" s="486"/>
      <c r="C48" s="1410" t="e">
        <f>R49</f>
        <v>#DIV/0!</v>
      </c>
      <c r="D48" s="1411"/>
      <c r="E48" s="1412" t="e">
        <f>R48</f>
        <v>#DIV/0!</v>
      </c>
      <c r="F48" s="1412"/>
      <c r="G48" s="1410" t="e">
        <f>T48</f>
        <v>#DIV/0!</v>
      </c>
      <c r="H48" s="1411"/>
      <c r="I48" s="1412" t="e">
        <f>V48</f>
        <v>#DIV/0!</v>
      </c>
      <c r="J48" s="1411"/>
      <c r="K48" s="2615"/>
      <c r="L48" s="1140"/>
      <c r="M48" s="1141"/>
      <c r="N48" s="1141"/>
      <c r="O48" s="1141"/>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2537</v>
      </c>
      <c r="B49" s="492"/>
      <c r="C49" s="1413" t="e">
        <f>R49</f>
        <v>#DIV/0!</v>
      </c>
      <c r="D49" s="1414"/>
      <c r="E49" s="1414"/>
      <c r="F49" s="1414"/>
      <c r="G49" s="1414"/>
      <c r="H49" s="1414"/>
      <c r="I49" s="1414"/>
      <c r="J49" s="1414"/>
      <c r="K49" s="2616"/>
      <c r="L49" s="1140"/>
      <c r="M49" s="1141"/>
      <c r="N49" s="1141"/>
      <c r="O49" s="1141"/>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2538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2539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2540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2" t="s">
        <v>2541</v>
      </c>
      <c r="B57" s="758"/>
      <c r="C57" s="763"/>
      <c r="D57" s="763"/>
      <c r="E57" s="763"/>
      <c r="F57" s="764"/>
      <c r="G57" s="764"/>
      <c r="H57" s="763"/>
      <c r="I57" s="763"/>
      <c r="J57" s="763"/>
      <c r="K57" s="1157"/>
      <c r="L57" s="1158"/>
      <c r="M57" s="1156"/>
      <c r="N57" s="1156"/>
      <c r="O57" s="1156"/>
      <c r="P57" s="2619"/>
      <c r="Q57" s="503"/>
    </row>
    <row r="58" spans="1:29" s="507" customFormat="1" ht="15">
      <c r="A58" s="504" t="s">
        <v>2542</v>
      </c>
      <c r="B58" s="505"/>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7" customFormat="1" ht="15">
      <c r="A59" s="508"/>
      <c r="B59" s="2620"/>
      <c r="C59" s="1570">
        <v>100</v>
      </c>
      <c r="D59" s="510"/>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2544</v>
      </c>
      <c r="B61" s="509"/>
      <c r="C61" s="521" t="s">
        <v>2545</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2516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2058</v>
      </c>
      <c r="C82" s="538" t="s">
        <v>2562</v>
      </c>
      <c r="D82" s="538" t="s">
        <v>2563</v>
      </c>
      <c r="E82" s="538" t="s">
        <v>2564</v>
      </c>
      <c r="F82" s="538" t="s">
        <v>2565</v>
      </c>
      <c r="G82" s="538" t="s">
        <v>2566</v>
      </c>
      <c r="H82" s="538"/>
      <c r="I82" s="538"/>
      <c r="J82" s="538"/>
      <c r="K82" s="538"/>
      <c r="L82" s="538"/>
      <c r="M82" s="1379"/>
      <c r="N82" s="1150"/>
      <c r="O82" s="1150"/>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2568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7" customFormat="1" ht="15.75" thickTop="1">
      <c r="A88" s="578"/>
      <c r="B88" s="537" t="s">
        <v>2569</v>
      </c>
      <c r="C88" s="553"/>
      <c r="D88" s="553"/>
      <c r="E88" s="553"/>
      <c r="F88" s="2628"/>
      <c r="G88" s="553"/>
      <c r="H88" s="553"/>
      <c r="I88" s="553"/>
      <c r="J88" s="553"/>
      <c r="K88" s="553"/>
      <c r="L88" s="553"/>
      <c r="M88" s="580"/>
      <c r="N88" s="1148"/>
      <c r="O88" s="1148"/>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2521</v>
      </c>
      <c r="B100" s="527" t="s">
        <v>2570</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2571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2573</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2574</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1961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2575</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2576</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2577</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2532</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2580</v>
      </c>
    </row>
    <row r="137" spans="1:17" ht="15">
      <c r="B137" s="2631" t="s">
        <v>2581</v>
      </c>
      <c r="C137" s="2632"/>
      <c r="D137" s="2632"/>
      <c r="E137" s="2632"/>
      <c r="F137" s="2632"/>
      <c r="G137" s="2633"/>
      <c r="H137" s="2634"/>
      <c r="I137" s="2635" t="s">
        <v>2582</v>
      </c>
      <c r="J137" s="2632"/>
      <c r="K137" s="2636"/>
    </row>
    <row r="138" spans="1:17" ht="15">
      <c r="B138" s="2637"/>
      <c r="C138" s="145" t="s">
        <v>2583</v>
      </c>
      <c r="D138" s="145" t="s">
        <v>2584</v>
      </c>
      <c r="E138" s="2638" t="s">
        <v>2585</v>
      </c>
      <c r="F138" s="2639" t="s">
        <v>2586</v>
      </c>
      <c r="G138" s="145" t="s">
        <v>2584</v>
      </c>
      <c r="H138" s="146" t="s">
        <v>2585</v>
      </c>
      <c r="I138" s="2640"/>
      <c r="J138" s="145" t="s">
        <v>2587</v>
      </c>
      <c r="K138" s="146" t="s">
        <v>2588</v>
      </c>
    </row>
    <row r="139" spans="1:17" ht="15">
      <c r="B139" s="1081">
        <v>6</v>
      </c>
      <c r="C139" s="1082">
        <v>96</v>
      </c>
      <c r="D139" s="2641" t="s">
        <v>2589</v>
      </c>
      <c r="E139" s="1083">
        <v>100</v>
      </c>
      <c r="F139" s="1084">
        <v>102.5</v>
      </c>
      <c r="G139" s="2641" t="s">
        <v>2589</v>
      </c>
      <c r="H139" s="1085">
        <v>105</v>
      </c>
      <c r="I139" s="2642" t="s">
        <v>2590</v>
      </c>
      <c r="J139" s="1082">
        <v>20</v>
      </c>
      <c r="K139" s="1086">
        <f>C145/(J139-2)</f>
        <v>4.0555555555555553E-3</v>
      </c>
    </row>
    <row r="140" spans="1:17" ht="15">
      <c r="B140" s="1087">
        <v>5</v>
      </c>
      <c r="C140" s="1088">
        <v>100</v>
      </c>
      <c r="D140" s="1088"/>
      <c r="E140" s="1089"/>
      <c r="F140" s="1090">
        <v>102</v>
      </c>
      <c r="G140" s="1088"/>
      <c r="H140" s="1091"/>
      <c r="I140" s="2643" t="s">
        <v>2591</v>
      </c>
      <c r="J140" s="314">
        <f>ROUNDUP((J139-1)/2,0)</f>
        <v>10</v>
      </c>
      <c r="K140" s="1092">
        <v>100</v>
      </c>
    </row>
    <row r="141" spans="1:17" ht="15">
      <c r="B141" s="1087">
        <v>4</v>
      </c>
      <c r="C141" s="1088">
        <v>102</v>
      </c>
      <c r="D141" s="1088"/>
      <c r="E141" s="1089"/>
      <c r="F141" s="1090">
        <v>101.5</v>
      </c>
      <c r="G141" s="1088"/>
      <c r="H141" s="1091"/>
      <c r="I141" s="2643" t="s">
        <v>2592</v>
      </c>
      <c r="J141" s="314">
        <v>1</v>
      </c>
      <c r="K141" s="1093">
        <f>ROUND(100+(J141-J140)*K139*100,1)</f>
        <v>96.4</v>
      </c>
    </row>
    <row r="142" spans="1:17" ht="15">
      <c r="B142" s="1087">
        <v>3</v>
      </c>
      <c r="C142" s="1088">
        <v>103</v>
      </c>
      <c r="D142" s="1088"/>
      <c r="E142" s="1089"/>
      <c r="F142" s="1090">
        <v>101</v>
      </c>
      <c r="G142" s="1088"/>
      <c r="H142" s="1091"/>
      <c r="I142" s="2643" t="s">
        <v>2593</v>
      </c>
      <c r="J142" s="314">
        <f>J139</f>
        <v>20</v>
      </c>
      <c r="K142" s="1094">
        <v>95</v>
      </c>
    </row>
    <row r="143" spans="1:17" ht="15">
      <c r="B143" s="1087">
        <v>2</v>
      </c>
      <c r="C143" s="1088">
        <v>100</v>
      </c>
      <c r="D143" s="1088"/>
      <c r="E143" s="1089"/>
      <c r="F143" s="1090">
        <v>100.5</v>
      </c>
      <c r="G143" s="1088"/>
      <c r="H143" s="1091"/>
      <c r="I143" s="2643" t="s">
        <v>2594</v>
      </c>
      <c r="J143" s="1088">
        <v>15</v>
      </c>
      <c r="K143" s="1093">
        <f>ROUND(100+(J143-J140)*K139*100,1)</f>
        <v>102</v>
      </c>
    </row>
    <row r="144" spans="1:17" ht="15">
      <c r="B144" s="1087">
        <v>1</v>
      </c>
      <c r="C144" s="1088">
        <v>98</v>
      </c>
      <c r="D144" s="2644" t="s">
        <v>2595</v>
      </c>
      <c r="E144" s="1089">
        <v>102</v>
      </c>
      <c r="F144" s="1095">
        <v>100</v>
      </c>
      <c r="G144" s="2644" t="s">
        <v>2595</v>
      </c>
      <c r="H144" s="1091">
        <v>105</v>
      </c>
      <c r="I144" s="2643" t="s">
        <v>2594</v>
      </c>
      <c r="J144" s="1088">
        <v>18</v>
      </c>
      <c r="K144" s="1093">
        <f>ROUND(100+(J144-J140)*K139*100,1)</f>
        <v>103.2</v>
      </c>
    </row>
    <row r="145" spans="2:11" ht="15.75" thickBot="1">
      <c r="B145" s="2645" t="s">
        <v>2596</v>
      </c>
      <c r="C145" s="1096">
        <f>ROUND(MAX(C139:C144)/MIN(C139:C144)-1,3)</f>
        <v>7.2999999999999995E-2</v>
      </c>
      <c r="D145" s="1097"/>
      <c r="E145" s="1097"/>
      <c r="F145" s="2646" t="s">
        <v>2597</v>
      </c>
      <c r="G145" s="2647"/>
      <c r="H145" s="2648"/>
      <c r="I145" s="2649" t="s">
        <v>2594</v>
      </c>
      <c r="J145" s="1098">
        <v>8</v>
      </c>
      <c r="K145" s="1099">
        <f>ROUND(100+(J145-J140)*K139*100,1)</f>
        <v>99.2</v>
      </c>
    </row>
    <row r="147" spans="2:11">
      <c r="B147" s="2630" t="s">
        <v>2598</v>
      </c>
    </row>
    <row r="148" spans="2:11">
      <c r="B148" s="2630" t="s">
        <v>2599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2600</v>
      </c>
      <c r="C1" s="1631" t="s">
        <v>2488</v>
      </c>
      <c r="D1" s="1618"/>
      <c r="E1" s="2650"/>
      <c r="F1" s="2577"/>
      <c r="G1" s="1628" t="s">
        <v>2601</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2285</v>
      </c>
      <c r="B2" s="1415" t="e">
        <f ca="1">IF(C2="——",ROUND(C49*D3/10000,0),ROUND(C49*D3/10000,0)-D2)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2287</v>
      </c>
      <c r="B3" s="608" t="e">
        <f ca="1">IF(C2="——",C49,ROUND(B2*10000/D3,0))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55"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55"/>
      <c r="AC5" s="3226"/>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55"/>
      <c r="AC6" s="3227"/>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28"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772" t="e">
        <f>D7/J7</f>
        <v>#DIV/0!</v>
      </c>
    </row>
    <row r="8" spans="1:29" s="117" customFormat="1" ht="15.75" thickBot="1">
      <c r="A8" s="407" t="s">
        <v>2508</v>
      </c>
      <c r="B8" s="408"/>
      <c r="C8" s="413" t="s">
        <v>2610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46" si="3">D8/F8</f>
        <v>#DIV/0!</v>
      </c>
      <c r="AB8" s="772" t="e">
        <f t="shared" ref="AB8:AB46" si="4">D8/H8</f>
        <v>#DIV/0!</v>
      </c>
      <c r="AC8" s="772" t="e">
        <f t="shared" ref="AC8:AC46" si="5">D8/J8</f>
        <v>#DIV/0!</v>
      </c>
    </row>
    <row r="9" spans="1:29" s="117" customFormat="1">
      <c r="A9" s="414" t="s">
        <v>2511</v>
      </c>
      <c r="B9" s="71" t="s">
        <v>2512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42"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42"/>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42"/>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42"/>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42"/>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42"/>
      <c r="Q14" s="1792">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2517</v>
      </c>
      <c r="B15" s="69" t="s">
        <v>2611</v>
      </c>
      <c r="C15" s="2596" t="str">
        <f>估价对象房地状况!C4</f>
        <v>估价对象位于石景山，周边商业氛围成熟较好，人流量大，商业繁华度较好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69" t="s">
        <v>2518</v>
      </c>
      <c r="Q15" s="1807" t="str">
        <f t="shared" si="6"/>
        <v>商业繁华度</v>
      </c>
      <c r="R15" s="773" t="s">
        <v>17</v>
      </c>
      <c r="S15" s="774">
        <f t="shared" si="0"/>
        <v>100</v>
      </c>
      <c r="T15" s="773" t="s">
        <v>17</v>
      </c>
      <c r="U15" s="774">
        <f t="shared" si="1"/>
        <v>100</v>
      </c>
      <c r="V15" s="773" t="s">
        <v>17</v>
      </c>
      <c r="W15" s="774">
        <f t="shared" si="2"/>
        <v>100</v>
      </c>
      <c r="X15" s="1810"/>
      <c r="Y15" s="3262" t="s">
        <v>2518</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70"/>
      <c r="Q16" s="1807"/>
      <c r="R16" s="773"/>
      <c r="S16" s="774"/>
      <c r="T16" s="773"/>
      <c r="U16" s="774"/>
      <c r="V16" s="773"/>
      <c r="W16" s="774"/>
      <c r="X16" s="1810"/>
      <c r="Y16" s="3263"/>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70"/>
      <c r="Q17" s="1807" t="str">
        <f>B17</f>
        <v>交通便捷度</v>
      </c>
      <c r="R17" s="773" t="s">
        <v>17</v>
      </c>
      <c r="S17" s="774">
        <f>F17</f>
        <v>100</v>
      </c>
      <c r="T17" s="773" t="s">
        <v>17</v>
      </c>
      <c r="U17" s="774">
        <f>H17</f>
        <v>100</v>
      </c>
      <c r="V17" s="773" t="s">
        <v>17</v>
      </c>
      <c r="W17" s="774">
        <f>J17</f>
        <v>100</v>
      </c>
      <c r="X17" s="1810"/>
      <c r="Y17" s="3263"/>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28"/>
      <c r="P18" s="3270"/>
      <c r="Q18" s="1807"/>
      <c r="R18" s="773"/>
      <c r="S18" s="774"/>
      <c r="T18" s="773"/>
      <c r="U18" s="774"/>
      <c r="V18" s="773"/>
      <c r="W18" s="774"/>
      <c r="X18" s="1810"/>
      <c r="Y18" s="3263"/>
      <c r="Z18" s="1811"/>
      <c r="AA18" s="1808">
        <v>1</v>
      </c>
      <c r="AB18" s="1808">
        <v>1</v>
      </c>
      <c r="AC18" s="1808">
        <v>1</v>
      </c>
    </row>
    <row r="19" spans="1:29" ht="42.75">
      <c r="A19" s="427"/>
      <c r="B19" s="450" t="s">
        <v>2612</v>
      </c>
      <c r="C19" s="2600"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70"/>
      <c r="Q19" s="1807" t="str">
        <f>B19</f>
        <v>公共配套设施</v>
      </c>
      <c r="R19" s="773" t="s">
        <v>17</v>
      </c>
      <c r="S19" s="774">
        <f>F19</f>
        <v>100</v>
      </c>
      <c r="T19" s="773" t="s">
        <v>17</v>
      </c>
      <c r="U19" s="774">
        <f>H19</f>
        <v>100</v>
      </c>
      <c r="V19" s="773" t="s">
        <v>17</v>
      </c>
      <c r="W19" s="774">
        <f>J19</f>
        <v>100</v>
      </c>
      <c r="X19" s="1810"/>
      <c r="Y19" s="3263"/>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28"/>
      <c r="P20" s="3270"/>
      <c r="Q20" s="1807"/>
      <c r="R20" s="773"/>
      <c r="S20" s="774"/>
      <c r="T20" s="773"/>
      <c r="U20" s="774"/>
      <c r="V20" s="773"/>
      <c r="W20" s="774"/>
      <c r="X20" s="1810"/>
      <c r="Y20" s="3263"/>
      <c r="Z20" s="1811"/>
      <c r="AA20" s="1808">
        <v>1</v>
      </c>
      <c r="AB20" s="1808">
        <v>1</v>
      </c>
      <c r="AC20" s="1808">
        <v>1</v>
      </c>
    </row>
    <row r="21" spans="1:29" ht="42.75">
      <c r="A21" s="427"/>
      <c r="B21" s="1381" t="s">
        <v>2613</v>
      </c>
      <c r="C21" s="2600"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70"/>
      <c r="Q21" s="1807" t="str">
        <f>B21</f>
        <v>基础设施水平</v>
      </c>
      <c r="R21" s="773" t="s">
        <v>17</v>
      </c>
      <c r="S21" s="774">
        <f>F21</f>
        <v>100</v>
      </c>
      <c r="T21" s="773" t="s">
        <v>17</v>
      </c>
      <c r="U21" s="774">
        <f>H21</f>
        <v>100</v>
      </c>
      <c r="V21" s="773" t="s">
        <v>17</v>
      </c>
      <c r="W21" s="774">
        <f>J21</f>
        <v>100</v>
      </c>
      <c r="X21" s="1810"/>
      <c r="Y21" s="3263"/>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28"/>
      <c r="P22" s="3270"/>
      <c r="Q22" s="1807"/>
      <c r="R22" s="773"/>
      <c r="S22" s="774"/>
      <c r="T22" s="773"/>
      <c r="U22" s="774"/>
      <c r="V22" s="773"/>
      <c r="W22" s="774"/>
      <c r="X22" s="1810"/>
      <c r="Y22" s="3263"/>
      <c r="Z22" s="1811"/>
      <c r="AA22" s="1808">
        <v>1</v>
      </c>
      <c r="AB22" s="1808">
        <v>1</v>
      </c>
      <c r="AC22" s="1808">
        <v>1</v>
      </c>
    </row>
    <row r="23" spans="1:29" ht="57">
      <c r="A23" s="427"/>
      <c r="B23" s="450" t="s">
        <v>2060</v>
      </c>
      <c r="C23" s="2657" t="str">
        <f>估价对象房地状况!C9</f>
        <v>区域自然环境及人文环境好；综合评价环境状况较好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70"/>
      <c r="Q23" s="1807" t="str">
        <f>B23</f>
        <v>自然及人文环境</v>
      </c>
      <c r="R23" s="773" t="s">
        <v>17</v>
      </c>
      <c r="S23" s="774">
        <f>F23</f>
        <v>100</v>
      </c>
      <c r="T23" s="773" t="s">
        <v>17</v>
      </c>
      <c r="U23" s="774">
        <f>H23</f>
        <v>100</v>
      </c>
      <c r="V23" s="773" t="s">
        <v>17</v>
      </c>
      <c r="W23" s="774">
        <f>J23</f>
        <v>100</v>
      </c>
      <c r="X23" s="1810"/>
      <c r="Y23" s="3263"/>
      <c r="Z23" s="1811" t="str">
        <f>Q23</f>
        <v>自然及人文环境</v>
      </c>
      <c r="AA23" s="1808">
        <f t="shared" si="3"/>
        <v>1</v>
      </c>
      <c r="AB23" s="1808">
        <f t="shared" si="4"/>
        <v>1</v>
      </c>
      <c r="AC23" s="1808">
        <f t="shared" si="5"/>
        <v>1</v>
      </c>
    </row>
    <row r="24" spans="1:29" ht="15">
      <c r="A24" s="427"/>
      <c r="B24" s="455"/>
      <c r="C24" s="446"/>
      <c r="D24" s="447"/>
      <c r="E24" s="2598"/>
      <c r="F24" s="448"/>
      <c r="G24" s="2597"/>
      <c r="H24" s="447"/>
      <c r="I24" s="2598"/>
      <c r="J24" s="447"/>
      <c r="K24" s="614"/>
      <c r="L24" s="1137"/>
      <c r="M24" s="1128"/>
      <c r="N24" s="1128"/>
      <c r="O24" s="1128"/>
      <c r="P24" s="3270"/>
      <c r="Q24" s="1807"/>
      <c r="R24" s="773"/>
      <c r="S24" s="774"/>
      <c r="T24" s="773"/>
      <c r="U24" s="774"/>
      <c r="V24" s="773"/>
      <c r="W24" s="774"/>
      <c r="X24" s="1810"/>
      <c r="Y24" s="3263"/>
      <c r="Z24" s="1811"/>
      <c r="AA24" s="1808">
        <v>1</v>
      </c>
      <c r="AB24" s="1808">
        <v>1</v>
      </c>
      <c r="AC24" s="1808">
        <v>1</v>
      </c>
    </row>
    <row r="25" spans="1:29" ht="15">
      <c r="A25" s="427"/>
      <c r="B25" s="421" t="s">
        <v>2614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70"/>
      <c r="Q25" s="1807" t="str">
        <f t="shared" ref="Q25:Q46" si="11">B25</f>
        <v>临街状况</v>
      </c>
      <c r="R25" s="773" t="s">
        <v>17</v>
      </c>
      <c r="S25" s="774">
        <f>F25</f>
        <v>100</v>
      </c>
      <c r="T25" s="773" t="s">
        <v>17</v>
      </c>
      <c r="U25" s="774">
        <f>H25</f>
        <v>100</v>
      </c>
      <c r="V25" s="773" t="s">
        <v>17</v>
      </c>
      <c r="W25" s="774">
        <f>J25</f>
        <v>100</v>
      </c>
      <c r="X25" s="1810"/>
      <c r="Y25" s="3263"/>
      <c r="Z25" s="1811" t="str">
        <f>Q25</f>
        <v>临街状况</v>
      </c>
      <c r="AA25" s="1808">
        <f t="shared" si="3"/>
        <v>1</v>
      </c>
      <c r="AB25" s="1808">
        <f t="shared" si="4"/>
        <v>1</v>
      </c>
      <c r="AC25" s="1808">
        <f t="shared" si="5"/>
        <v>1</v>
      </c>
    </row>
    <row r="26" spans="1:29" ht="15">
      <c r="A26" s="427"/>
      <c r="B26" s="1383" t="s">
        <v>2615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70"/>
      <c r="Q26" s="1807" t="str">
        <f t="shared" si="11"/>
        <v>平面位置/可视性</v>
      </c>
      <c r="R26" s="773" t="s">
        <v>17</v>
      </c>
      <c r="S26" s="774">
        <f>F26</f>
        <v>100</v>
      </c>
      <c r="T26" s="773" t="s">
        <v>17</v>
      </c>
      <c r="U26" s="774">
        <f>H26</f>
        <v>100</v>
      </c>
      <c r="V26" s="773" t="s">
        <v>17</v>
      </c>
      <c r="W26" s="774">
        <f>J26</f>
        <v>100</v>
      </c>
      <c r="X26" s="1810"/>
      <c r="Y26" s="3263"/>
      <c r="Z26" s="1811" t="str">
        <f>Q26</f>
        <v>平面位置/可视性</v>
      </c>
      <c r="AA26" s="1808">
        <f t="shared" si="3"/>
        <v>1</v>
      </c>
      <c r="AB26" s="1808">
        <f t="shared" si="4"/>
        <v>1</v>
      </c>
      <c r="AC26" s="1808">
        <f t="shared" si="5"/>
        <v>1</v>
      </c>
    </row>
    <row r="27" spans="1:29" s="117" customFormat="1" ht="15">
      <c r="A27" s="430"/>
      <c r="B27" s="450" t="s">
        <v>2616</v>
      </c>
      <c r="C27" s="2658"/>
      <c r="D27" s="461">
        <v>100</v>
      </c>
      <c r="E27" s="2658"/>
      <c r="F27" s="463">
        <f>SUMIF(90:90,E27,91:91)-SUMIF(90:90,C27,91:91)+100</f>
        <v>100</v>
      </c>
      <c r="G27" s="2658"/>
      <c r="H27" s="461">
        <f>SUMIF(90:90,G27,91:91)-SUMIF(90:90,C27,91:91)+100</f>
        <v>100</v>
      </c>
      <c r="I27" s="2658"/>
      <c r="J27" s="461">
        <f>SUMIF(90:90,I27,91:91)-SUMIF(90:90,C27,91:91)+100</f>
        <v>100</v>
      </c>
      <c r="K27" s="611"/>
      <c r="L27" s="1129"/>
      <c r="M27" s="1130"/>
      <c r="N27" s="1130"/>
      <c r="O27" s="1130"/>
      <c r="P27" s="3270"/>
      <c r="Q27" s="1792" t="str">
        <f t="shared" si="11"/>
        <v>人流量</v>
      </c>
      <c r="R27" s="769" t="s">
        <v>17</v>
      </c>
      <c r="S27" s="770">
        <f>F27</f>
        <v>100</v>
      </c>
      <c r="T27" s="769" t="s">
        <v>17</v>
      </c>
      <c r="U27" s="770">
        <f>H27</f>
        <v>100</v>
      </c>
      <c r="V27" s="769" t="s">
        <v>17</v>
      </c>
      <c r="W27" s="770">
        <f>J27</f>
        <v>100</v>
      </c>
      <c r="X27" s="771"/>
      <c r="Y27" s="3263"/>
      <c r="Z27" s="55" t="str">
        <f>Q27</f>
        <v>人流量</v>
      </c>
      <c r="AA27" s="1808">
        <f>D27/F27</f>
        <v>1</v>
      </c>
      <c r="AB27" s="1808">
        <f>D27/H27</f>
        <v>1</v>
      </c>
      <c r="AC27" s="1808">
        <f>D27/J27</f>
        <v>1</v>
      </c>
    </row>
    <row r="28" spans="1:29" ht="15">
      <c r="A28" s="427"/>
      <c r="B28" s="421" t="s">
        <v>2617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70"/>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63"/>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70"/>
      <c r="Q29" s="1807">
        <f t="shared" si="11"/>
        <v>111</v>
      </c>
      <c r="R29" s="773" t="s">
        <v>17</v>
      </c>
      <c r="S29" s="774">
        <f t="shared" si="12"/>
        <v>100</v>
      </c>
      <c r="T29" s="773" t="s">
        <v>17</v>
      </c>
      <c r="U29" s="774">
        <f t="shared" si="13"/>
        <v>100</v>
      </c>
      <c r="V29" s="773" t="s">
        <v>17</v>
      </c>
      <c r="W29" s="774">
        <f t="shared" si="14"/>
        <v>100</v>
      </c>
      <c r="X29" s="1810"/>
      <c r="Y29" s="3263"/>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70"/>
      <c r="Q30" s="1807">
        <f t="shared" si="11"/>
        <v>111</v>
      </c>
      <c r="R30" s="773" t="s">
        <v>17</v>
      </c>
      <c r="S30" s="774">
        <f t="shared" si="12"/>
        <v>100</v>
      </c>
      <c r="T30" s="773" t="s">
        <v>17</v>
      </c>
      <c r="U30" s="774">
        <f t="shared" si="13"/>
        <v>100</v>
      </c>
      <c r="V30" s="773" t="s">
        <v>17</v>
      </c>
      <c r="W30" s="774">
        <f t="shared" si="14"/>
        <v>100</v>
      </c>
      <c r="X30" s="1810"/>
      <c r="Y30" s="3263"/>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70"/>
      <c r="Q31" s="1807">
        <f t="shared" si="11"/>
        <v>111</v>
      </c>
      <c r="R31" s="773" t="s">
        <v>17</v>
      </c>
      <c r="S31" s="774">
        <f t="shared" si="12"/>
        <v>100</v>
      </c>
      <c r="T31" s="773" t="s">
        <v>17</v>
      </c>
      <c r="U31" s="774">
        <f t="shared" si="13"/>
        <v>100</v>
      </c>
      <c r="V31" s="773" t="s">
        <v>17</v>
      </c>
      <c r="W31" s="774">
        <f t="shared" si="14"/>
        <v>100</v>
      </c>
      <c r="X31" s="1810"/>
      <c r="Y31" s="3263"/>
      <c r="Z31" s="1811">
        <f t="shared" si="15"/>
        <v>111</v>
      </c>
      <c r="AA31" s="1808">
        <f t="shared" si="3"/>
        <v>1</v>
      </c>
      <c r="AB31" s="1808">
        <f t="shared" si="4"/>
        <v>1</v>
      </c>
      <c r="AC31" s="1808">
        <f t="shared" si="5"/>
        <v>1</v>
      </c>
    </row>
    <row r="32" spans="1:29" ht="15">
      <c r="A32" s="439" t="s">
        <v>2521</v>
      </c>
      <c r="B32" s="71" t="s">
        <v>2618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7"/>
      <c r="M32" s="1128"/>
      <c r="N32" s="1128"/>
      <c r="O32" s="1128"/>
      <c r="P32" s="3264" t="s">
        <v>2523</v>
      </c>
      <c r="Q32" s="1807" t="str">
        <f t="shared" si="11"/>
        <v>商业类型</v>
      </c>
      <c r="R32" s="773" t="s">
        <v>17</v>
      </c>
      <c r="S32" s="774">
        <f t="shared" si="12"/>
        <v>100</v>
      </c>
      <c r="T32" s="773" t="s">
        <v>17</v>
      </c>
      <c r="U32" s="774">
        <f t="shared" si="13"/>
        <v>100</v>
      </c>
      <c r="V32" s="773" t="s">
        <v>17</v>
      </c>
      <c r="W32" s="774">
        <f t="shared" si="14"/>
        <v>100</v>
      </c>
      <c r="X32" s="1810"/>
      <c r="Y32" s="3267" t="s">
        <v>2523</v>
      </c>
      <c r="Z32" s="1811" t="str">
        <f t="shared" si="15"/>
        <v>商业类型</v>
      </c>
      <c r="AA32" s="1808">
        <f t="shared" si="3"/>
        <v>1</v>
      </c>
      <c r="AB32" s="1808">
        <f t="shared" si="4"/>
        <v>1</v>
      </c>
      <c r="AC32" s="1808">
        <f t="shared" si="5"/>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65"/>
      <c r="Q33" s="775" t="str">
        <f t="shared" si="11"/>
        <v>项目建筑规模</v>
      </c>
      <c r="R33" s="776" t="s">
        <v>17</v>
      </c>
      <c r="S33" s="777" t="e">
        <f t="shared" si="12"/>
        <v>#N/A</v>
      </c>
      <c r="T33" s="776" t="s">
        <v>17</v>
      </c>
      <c r="U33" s="777" t="e">
        <f t="shared" si="13"/>
        <v>#N/A</v>
      </c>
      <c r="V33" s="776" t="s">
        <v>17</v>
      </c>
      <c r="W33" s="777" t="e">
        <f t="shared" si="14"/>
        <v>#N/A</v>
      </c>
      <c r="X33" s="778"/>
      <c r="Y33" s="3267"/>
      <c r="Z33" s="779" t="str">
        <f t="shared" si="15"/>
        <v>项目建筑规模</v>
      </c>
      <c r="AA33" s="1808" t="e">
        <f t="shared" si="3"/>
        <v>#N/A</v>
      </c>
      <c r="AB33" s="1808" t="e">
        <f t="shared" si="4"/>
        <v>#N/A</v>
      </c>
      <c r="AC33" s="1808" t="e">
        <f t="shared" si="5"/>
        <v>#N/A</v>
      </c>
    </row>
    <row r="34" spans="1:29" ht="15">
      <c r="A34" s="471"/>
      <c r="B34" s="421" t="s">
        <v>2525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7"/>
      <c r="M34" s="1128"/>
      <c r="N34" s="1128"/>
      <c r="O34" s="1128"/>
      <c r="P34" s="3265"/>
      <c r="Q34" s="1807" t="str">
        <f t="shared" si="11"/>
        <v>建筑结构</v>
      </c>
      <c r="R34" s="773" t="s">
        <v>17</v>
      </c>
      <c r="S34" s="774">
        <f t="shared" si="12"/>
        <v>100</v>
      </c>
      <c r="T34" s="773" t="s">
        <v>17</v>
      </c>
      <c r="U34" s="774">
        <f t="shared" si="13"/>
        <v>100</v>
      </c>
      <c r="V34" s="773" t="s">
        <v>17</v>
      </c>
      <c r="W34" s="774">
        <f t="shared" si="14"/>
        <v>100</v>
      </c>
      <c r="X34" s="1810"/>
      <c r="Y34" s="3267"/>
      <c r="Z34" s="1811" t="str">
        <f t="shared" si="15"/>
        <v>建筑结构</v>
      </c>
      <c r="AA34" s="1808">
        <f t="shared" si="3"/>
        <v>1</v>
      </c>
      <c r="AB34" s="1808">
        <f t="shared" si="4"/>
        <v>1</v>
      </c>
      <c r="AC34" s="1808">
        <f t="shared" si="5"/>
        <v>1</v>
      </c>
    </row>
    <row r="35" spans="1:29" ht="15">
      <c r="A35" s="471"/>
      <c r="B35" s="421" t="s">
        <v>2619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7"/>
      <c r="M35" s="1128"/>
      <c r="N35" s="1128"/>
      <c r="O35" s="1128"/>
      <c r="P35" s="3265"/>
      <c r="Q35" s="1807" t="str">
        <f t="shared" si="11"/>
        <v>公共部分装修</v>
      </c>
      <c r="R35" s="773" t="s">
        <v>17</v>
      </c>
      <c r="S35" s="774">
        <f t="shared" si="12"/>
        <v>100</v>
      </c>
      <c r="T35" s="773" t="s">
        <v>17</v>
      </c>
      <c r="U35" s="774">
        <f t="shared" si="13"/>
        <v>100</v>
      </c>
      <c r="V35" s="773" t="s">
        <v>17</v>
      </c>
      <c r="W35" s="774">
        <f t="shared" si="14"/>
        <v>100</v>
      </c>
      <c r="X35" s="1810"/>
      <c r="Y35" s="3267"/>
      <c r="Z35" s="1811" t="str">
        <f t="shared" si="15"/>
        <v>公共部分装修</v>
      </c>
      <c r="AA35" s="1808">
        <f t="shared" si="3"/>
        <v>1</v>
      </c>
      <c r="AB35" s="1808">
        <f t="shared" si="4"/>
        <v>1</v>
      </c>
      <c r="AC35" s="1808">
        <f t="shared" si="5"/>
        <v>1</v>
      </c>
    </row>
    <row r="36" spans="1:29" ht="15">
      <c r="A36" s="471"/>
      <c r="B36" s="421" t="s">
        <v>2620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65"/>
      <c r="Q36" s="1807" t="str">
        <f t="shared" si="11"/>
        <v>成新度</v>
      </c>
      <c r="R36" s="773" t="s">
        <v>17</v>
      </c>
      <c r="S36" s="774" t="e">
        <f t="shared" si="12"/>
        <v>#N/A</v>
      </c>
      <c r="T36" s="773" t="s">
        <v>17</v>
      </c>
      <c r="U36" s="774" t="e">
        <f t="shared" si="13"/>
        <v>#N/A</v>
      </c>
      <c r="V36" s="773" t="s">
        <v>17</v>
      </c>
      <c r="W36" s="774" t="e">
        <f t="shared" si="14"/>
        <v>#N/A</v>
      </c>
      <c r="X36" s="1810"/>
      <c r="Y36" s="3267"/>
      <c r="Z36" s="1811" t="str">
        <f t="shared" si="15"/>
        <v>成新度</v>
      </c>
      <c r="AA36" s="1808" t="e">
        <f t="shared" si="3"/>
        <v>#N/A</v>
      </c>
      <c r="AB36" s="1808" t="e">
        <f t="shared" si="4"/>
        <v>#N/A</v>
      </c>
      <c r="AC36" s="1808" t="e">
        <f t="shared" si="5"/>
        <v>#N/A</v>
      </c>
    </row>
    <row r="37" spans="1:29" s="117" customFormat="1" ht="15">
      <c r="A37" s="472"/>
      <c r="B37" s="421" t="s">
        <v>2621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9"/>
      <c r="M37" s="1130"/>
      <c r="N37" s="1130"/>
      <c r="O37" s="1130"/>
      <c r="P37" s="3265"/>
      <c r="Q37" s="1792" t="str">
        <f t="shared" si="11"/>
        <v>市政基础设施</v>
      </c>
      <c r="R37" s="769" t="s">
        <v>17</v>
      </c>
      <c r="S37" s="770">
        <f t="shared" si="12"/>
        <v>100</v>
      </c>
      <c r="T37" s="769" t="s">
        <v>17</v>
      </c>
      <c r="U37" s="770">
        <f t="shared" si="13"/>
        <v>100</v>
      </c>
      <c r="V37" s="769" t="s">
        <v>17</v>
      </c>
      <c r="W37" s="770">
        <f t="shared" si="14"/>
        <v>100</v>
      </c>
      <c r="X37" s="771"/>
      <c r="Y37" s="3267"/>
      <c r="Z37" s="55" t="str">
        <f t="shared" si="15"/>
        <v>市政基础设施</v>
      </c>
      <c r="AA37" s="772">
        <f t="shared" si="3"/>
        <v>1</v>
      </c>
      <c r="AB37" s="772">
        <f t="shared" si="4"/>
        <v>1</v>
      </c>
      <c r="AC37" s="772">
        <f t="shared" si="5"/>
        <v>1</v>
      </c>
    </row>
    <row r="38" spans="1:29" ht="15">
      <c r="A38" s="471"/>
      <c r="B38" s="421" t="s">
        <v>2622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7"/>
      <c r="M38" s="1128"/>
      <c r="N38" s="1128"/>
      <c r="O38" s="1128"/>
      <c r="P38" s="3265" t="s">
        <v>2523</v>
      </c>
      <c r="Q38" s="1807" t="str">
        <f t="shared" si="11"/>
        <v>业态</v>
      </c>
      <c r="R38" s="773" t="s">
        <v>17</v>
      </c>
      <c r="S38" s="774">
        <f t="shared" si="12"/>
        <v>100</v>
      </c>
      <c r="T38" s="773" t="s">
        <v>17</v>
      </c>
      <c r="U38" s="774">
        <f t="shared" si="13"/>
        <v>100</v>
      </c>
      <c r="V38" s="773" t="s">
        <v>17</v>
      </c>
      <c r="W38" s="774">
        <f t="shared" si="14"/>
        <v>100</v>
      </c>
      <c r="X38" s="1810"/>
      <c r="Y38" s="3267" t="s">
        <v>2523</v>
      </c>
      <c r="Z38" s="1811" t="str">
        <f t="shared" si="15"/>
        <v>业态</v>
      </c>
      <c r="AA38" s="1808">
        <f t="shared" si="3"/>
        <v>1</v>
      </c>
      <c r="AB38" s="1808">
        <f t="shared" si="4"/>
        <v>1</v>
      </c>
      <c r="AC38" s="1808">
        <f t="shared" si="5"/>
        <v>1</v>
      </c>
    </row>
    <row r="39" spans="1:29" ht="15">
      <c r="A39" s="471"/>
      <c r="B39" s="421" t="s">
        <v>2623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7"/>
      <c r="M39" s="1128"/>
      <c r="N39" s="1128"/>
      <c r="O39" s="1128"/>
      <c r="P39" s="3265"/>
      <c r="Q39" s="1807" t="str">
        <f t="shared" si="11"/>
        <v>层高</v>
      </c>
      <c r="R39" s="773" t="s">
        <v>17</v>
      </c>
      <c r="S39" s="774">
        <f t="shared" si="12"/>
        <v>100</v>
      </c>
      <c r="T39" s="773" t="s">
        <v>17</v>
      </c>
      <c r="U39" s="774">
        <f t="shared" si="13"/>
        <v>100</v>
      </c>
      <c r="V39" s="773" t="s">
        <v>17</v>
      </c>
      <c r="W39" s="774">
        <f t="shared" si="14"/>
        <v>100</v>
      </c>
      <c r="X39" s="1810"/>
      <c r="Y39" s="3267"/>
      <c r="Z39" s="1811" t="str">
        <f t="shared" si="15"/>
        <v>层高</v>
      </c>
      <c r="AA39" s="1808">
        <f t="shared" si="3"/>
        <v>1</v>
      </c>
      <c r="AB39" s="1808">
        <f t="shared" si="4"/>
        <v>1</v>
      </c>
      <c r="AC39" s="1808">
        <f t="shared" si="5"/>
        <v>1</v>
      </c>
    </row>
    <row r="40" spans="1:29" ht="15">
      <c r="A40" s="471"/>
      <c r="B40" s="421" t="s">
        <v>2624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65"/>
      <c r="Q40" s="1807" t="str">
        <f t="shared" si="11"/>
        <v>单套建筑面积</v>
      </c>
      <c r="R40" s="773" t="s">
        <v>17</v>
      </c>
      <c r="S40" s="774">
        <f t="shared" si="12"/>
        <v>100</v>
      </c>
      <c r="T40" s="773" t="s">
        <v>17</v>
      </c>
      <c r="U40" s="774">
        <f t="shared" si="13"/>
        <v>100</v>
      </c>
      <c r="V40" s="773" t="s">
        <v>17</v>
      </c>
      <c r="W40" s="774">
        <f t="shared" si="14"/>
        <v>100</v>
      </c>
      <c r="X40" s="1810"/>
      <c r="Y40" s="3267"/>
      <c r="Z40" s="1811" t="str">
        <f t="shared" si="15"/>
        <v>单套建筑面积</v>
      </c>
      <c r="AA40" s="1808">
        <f t="shared" si="3"/>
        <v>1</v>
      </c>
      <c r="AB40" s="1808">
        <f t="shared" si="4"/>
        <v>1</v>
      </c>
      <c r="AC40" s="1808">
        <f t="shared" si="5"/>
        <v>1</v>
      </c>
    </row>
    <row r="41" spans="1:29" s="470" customFormat="1" ht="15">
      <c r="A41" s="467"/>
      <c r="B41" s="1809" t="s">
        <v>2625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65"/>
      <c r="Q41" s="775" t="str">
        <f t="shared" si="11"/>
        <v>进深比</v>
      </c>
      <c r="R41" s="776" t="s">
        <v>17</v>
      </c>
      <c r="S41" s="777">
        <f t="shared" si="12"/>
        <v>100</v>
      </c>
      <c r="T41" s="776" t="s">
        <v>17</v>
      </c>
      <c r="U41" s="777">
        <f t="shared" si="13"/>
        <v>100</v>
      </c>
      <c r="V41" s="776" t="s">
        <v>17</v>
      </c>
      <c r="W41" s="777">
        <f t="shared" si="14"/>
        <v>100</v>
      </c>
      <c r="X41" s="778"/>
      <c r="Y41" s="3267"/>
      <c r="Z41" s="779" t="str">
        <f t="shared" si="15"/>
        <v>进深比</v>
      </c>
      <c r="AA41" s="1808">
        <f t="shared" si="3"/>
        <v>1</v>
      </c>
      <c r="AB41" s="1808">
        <f t="shared" si="4"/>
        <v>1</v>
      </c>
      <c r="AC41" s="1808">
        <f t="shared" si="5"/>
        <v>1</v>
      </c>
    </row>
    <row r="42" spans="1:29" ht="15">
      <c r="A42" s="471"/>
      <c r="B42" s="421" t="s">
        <v>2626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7"/>
      <c r="M42" s="1128"/>
      <c r="N42" s="1128"/>
      <c r="O42" s="1128"/>
      <c r="P42" s="3265"/>
      <c r="Q42" s="1807" t="str">
        <f t="shared" si="11"/>
        <v>内部装修</v>
      </c>
      <c r="R42" s="773" t="s">
        <v>17</v>
      </c>
      <c r="S42" s="774">
        <f t="shared" si="12"/>
        <v>100</v>
      </c>
      <c r="T42" s="773" t="s">
        <v>17</v>
      </c>
      <c r="U42" s="774">
        <f t="shared" si="13"/>
        <v>100</v>
      </c>
      <c r="V42" s="773" t="s">
        <v>17</v>
      </c>
      <c r="W42" s="774">
        <f t="shared" si="14"/>
        <v>100</v>
      </c>
      <c r="X42" s="1810"/>
      <c r="Y42" s="3267"/>
      <c r="Z42" s="1811" t="str">
        <f t="shared" si="15"/>
        <v>内部装修</v>
      </c>
      <c r="AA42" s="1808">
        <f t="shared" si="3"/>
        <v>1</v>
      </c>
      <c r="AB42" s="1808">
        <f t="shared" si="4"/>
        <v>1</v>
      </c>
      <c r="AC42" s="1808">
        <f t="shared" si="5"/>
        <v>1</v>
      </c>
    </row>
    <row r="43" spans="1:29" ht="15">
      <c r="A43" s="471"/>
      <c r="B43" s="421" t="s">
        <v>2534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7"/>
      <c r="M43" s="1128"/>
      <c r="N43" s="1128"/>
      <c r="O43" s="1128"/>
      <c r="P43" s="3265"/>
      <c r="Q43" s="1807" t="str">
        <f t="shared" si="11"/>
        <v>内部装修维护情况</v>
      </c>
      <c r="R43" s="773" t="s">
        <v>17</v>
      </c>
      <c r="S43" s="774">
        <f t="shared" si="12"/>
        <v>100</v>
      </c>
      <c r="T43" s="773" t="s">
        <v>17</v>
      </c>
      <c r="U43" s="774">
        <f t="shared" si="13"/>
        <v>100</v>
      </c>
      <c r="V43" s="773" t="s">
        <v>17</v>
      </c>
      <c r="W43" s="774">
        <f t="shared" si="14"/>
        <v>100</v>
      </c>
      <c r="X43" s="1810"/>
      <c r="Y43" s="3267"/>
      <c r="Z43" s="1811" t="str">
        <f t="shared" si="15"/>
        <v>内部装修维护情况</v>
      </c>
      <c r="AA43" s="1808">
        <f t="shared" si="3"/>
        <v>1</v>
      </c>
      <c r="AB43" s="1808">
        <f t="shared" si="4"/>
        <v>1</v>
      </c>
      <c r="AC43" s="1808">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65"/>
      <c r="Q44" s="1792">
        <f t="shared" si="11"/>
        <v>111</v>
      </c>
      <c r="R44" s="769" t="s">
        <v>17</v>
      </c>
      <c r="S44" s="770">
        <f t="shared" si="12"/>
        <v>100</v>
      </c>
      <c r="T44" s="769" t="s">
        <v>17</v>
      </c>
      <c r="U44" s="770">
        <f t="shared" si="13"/>
        <v>100</v>
      </c>
      <c r="V44" s="769" t="s">
        <v>17</v>
      </c>
      <c r="W44" s="770">
        <f t="shared" si="14"/>
        <v>100</v>
      </c>
      <c r="X44" s="771"/>
      <c r="Y44" s="3267"/>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65"/>
      <c r="Q45" s="1807">
        <f t="shared" si="11"/>
        <v>111</v>
      </c>
      <c r="R45" s="773" t="s">
        <v>17</v>
      </c>
      <c r="S45" s="774">
        <f t="shared" si="12"/>
        <v>100</v>
      </c>
      <c r="T45" s="773" t="s">
        <v>17</v>
      </c>
      <c r="U45" s="774">
        <f t="shared" si="13"/>
        <v>100</v>
      </c>
      <c r="V45" s="773" t="s">
        <v>17</v>
      </c>
      <c r="W45" s="774">
        <f t="shared" si="14"/>
        <v>100</v>
      </c>
      <c r="X45" s="1810"/>
      <c r="Y45" s="3267"/>
      <c r="Z45" s="1811">
        <f t="shared" si="15"/>
        <v>111</v>
      </c>
      <c r="AA45" s="1808">
        <f t="shared" si="3"/>
        <v>1</v>
      </c>
      <c r="AB45" s="1808">
        <f t="shared" si="4"/>
        <v>1</v>
      </c>
      <c r="AC45" s="1808">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66"/>
      <c r="Q46" s="1807">
        <f t="shared" si="11"/>
        <v>111</v>
      </c>
      <c r="R46" s="773" t="s">
        <v>17</v>
      </c>
      <c r="S46" s="774">
        <f t="shared" si="12"/>
        <v>100</v>
      </c>
      <c r="T46" s="773" t="s">
        <v>17</v>
      </c>
      <c r="U46" s="774">
        <f t="shared" si="13"/>
        <v>100</v>
      </c>
      <c r="V46" s="773" t="s">
        <v>17</v>
      </c>
      <c r="W46" s="774">
        <f t="shared" si="14"/>
        <v>100</v>
      </c>
      <c r="X46" s="1810"/>
      <c r="Y46" s="3268"/>
      <c r="Z46" s="1811">
        <f t="shared" si="15"/>
        <v>111</v>
      </c>
      <c r="AA46" s="1808">
        <f t="shared" si="3"/>
        <v>1</v>
      </c>
      <c r="AB46" s="1808">
        <f t="shared" si="4"/>
        <v>1</v>
      </c>
      <c r="AC46" s="1808">
        <f t="shared" si="5"/>
        <v>1</v>
      </c>
    </row>
    <row r="47" spans="1:29" ht="15">
      <c r="A47" s="478" t="s">
        <v>2535</v>
      </c>
      <c r="B47" s="479"/>
      <c r="C47" s="1404" t="s">
        <v>1</v>
      </c>
      <c r="D47" s="1405"/>
      <c r="E47" s="1406"/>
      <c r="F47" s="1407"/>
      <c r="G47" s="1408"/>
      <c r="H47" s="1409"/>
      <c r="I47" s="1406"/>
      <c r="J47" s="1409"/>
      <c r="K47" s="782"/>
      <c r="L47" s="1140"/>
      <c r="M47" s="1141"/>
      <c r="N47" s="1128"/>
      <c r="O47" s="1141"/>
      <c r="P47" s="3260" t="str">
        <f>A47</f>
        <v>成交单价（元/平方米）</v>
      </c>
      <c r="Q47" s="3260"/>
      <c r="R47" s="3255">
        <f>E47</f>
        <v>0</v>
      </c>
      <c r="S47" s="3255"/>
      <c r="T47" s="3255">
        <f>G47</f>
        <v>0</v>
      </c>
      <c r="U47" s="3255"/>
      <c r="V47" s="3255">
        <f>I47</f>
        <v>0</v>
      </c>
      <c r="W47" s="3255"/>
      <c r="X47" s="758"/>
      <c r="Y47" s="780"/>
      <c r="Z47" s="758"/>
      <c r="AA47" s="758"/>
      <c r="AB47" s="758"/>
      <c r="AC47" s="758"/>
    </row>
    <row r="48" spans="1:29" ht="15.75" thickBot="1">
      <c r="A48" s="485" t="s">
        <v>2627</v>
      </c>
      <c r="B48" s="486"/>
      <c r="C48" s="1410" t="e">
        <f>R49</f>
        <v>#DIV/0!</v>
      </c>
      <c r="D48" s="1411"/>
      <c r="E48" s="1412" t="e">
        <f>R48</f>
        <v>#DIV/0!</v>
      </c>
      <c r="F48" s="1412"/>
      <c r="G48" s="1410" t="e">
        <f>T48</f>
        <v>#DIV/0!</v>
      </c>
      <c r="H48" s="1411"/>
      <c r="I48" s="1412" t="e">
        <f>V48</f>
        <v>#DIV/0!</v>
      </c>
      <c r="J48" s="1411"/>
      <c r="K48" s="783"/>
      <c r="L48" s="1140"/>
      <c r="M48" s="1141"/>
      <c r="N48" s="1128"/>
      <c r="O48" s="1141"/>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2628</v>
      </c>
      <c r="B49" s="492"/>
      <c r="C49" s="1414" t="e">
        <f>R49</f>
        <v>#DIV/0!</v>
      </c>
      <c r="D49" s="1414"/>
      <c r="E49" s="1414"/>
      <c r="F49" s="1414"/>
      <c r="G49" s="1414"/>
      <c r="H49" s="1414"/>
      <c r="I49" s="1414"/>
      <c r="J49" s="1414"/>
      <c r="K49" s="784"/>
      <c r="L49" s="1140"/>
      <c r="M49" s="1141"/>
      <c r="N49" s="1128"/>
      <c r="O49" s="1141"/>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2629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2630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2631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9"/>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9"/>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2632</v>
      </c>
      <c r="B57" s="758"/>
      <c r="C57" s="763"/>
      <c r="D57" s="763"/>
      <c r="E57" s="763"/>
      <c r="F57" s="764"/>
      <c r="G57" s="764"/>
      <c r="H57" s="763"/>
      <c r="I57" s="763"/>
      <c r="J57" s="763"/>
      <c r="K57" s="765"/>
      <c r="L57" s="1158"/>
      <c r="M57" s="1156"/>
      <c r="N57" s="1156"/>
      <c r="O57" s="1156"/>
      <c r="P57" s="2660"/>
      <c r="Q57" s="2661"/>
      <c r="R57" s="758"/>
      <c r="S57" s="758"/>
      <c r="T57" s="758"/>
      <c r="U57" s="758"/>
      <c r="V57" s="758"/>
      <c r="W57" s="758"/>
      <c r="X57" s="758"/>
      <c r="Y57" s="758"/>
      <c r="Z57" s="758"/>
      <c r="AA57" s="758"/>
      <c r="AB57" s="758"/>
      <c r="AC57" s="758"/>
    </row>
    <row r="58" spans="1:29" s="507" customFormat="1" ht="15">
      <c r="A58" s="504" t="s">
        <v>2506</v>
      </c>
      <c r="B58" s="505"/>
      <c r="C58" s="1571" t="str">
        <f>YEAR(C7)&amp;"-"&amp;MONTH(C7)</f>
        <v>2018-3</v>
      </c>
      <c r="D58" s="1572">
        <f>EDATE(C58,-1)</f>
        <v>43132</v>
      </c>
      <c r="E58" s="1572">
        <f t="shared" ref="E58:N58" si="16">EDATE(D58,-1)</f>
        <v>43101</v>
      </c>
      <c r="F58" s="1572">
        <f t="shared" si="16"/>
        <v>43070</v>
      </c>
      <c r="G58" s="1572">
        <f t="shared" si="16"/>
        <v>43040</v>
      </c>
      <c r="H58" s="1572">
        <f t="shared" si="16"/>
        <v>43009</v>
      </c>
      <c r="I58" s="1572">
        <f t="shared" si="16"/>
        <v>42979</v>
      </c>
      <c r="J58" s="1572">
        <f t="shared" si="16"/>
        <v>42948</v>
      </c>
      <c r="K58" s="1572">
        <f t="shared" si="16"/>
        <v>42917</v>
      </c>
      <c r="L58" s="1572">
        <f t="shared" si="16"/>
        <v>42887</v>
      </c>
      <c r="M58" s="1572">
        <f t="shared" si="16"/>
        <v>42856</v>
      </c>
      <c r="N58" s="1572">
        <f t="shared" si="16"/>
        <v>42826</v>
      </c>
      <c r="O58" s="1572">
        <f>EDATE(N58,-1)</f>
        <v>42795</v>
      </c>
      <c r="P58" s="1567"/>
    </row>
    <row r="59" spans="1:29" s="117" customFormat="1" ht="15">
      <c r="A59" s="508"/>
      <c r="B59" s="509"/>
      <c r="C59" s="1570">
        <v>100</v>
      </c>
      <c r="D59" s="511"/>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2508</v>
      </c>
      <c r="B61" s="509"/>
      <c r="C61" s="521" t="s">
        <v>2610</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3"/>
      <c r="Q66" s="503"/>
    </row>
    <row r="67" spans="1:17" ht="15.75" thickTop="1">
      <c r="A67" s="533"/>
      <c r="B67" s="545" t="s">
        <v>2516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2613</v>
      </c>
      <c r="C82" s="659" t="s">
        <v>2633</v>
      </c>
      <c r="D82" s="659" t="s">
        <v>2634</v>
      </c>
      <c r="E82" s="659" t="s">
        <v>2635</v>
      </c>
      <c r="F82" s="659" t="s">
        <v>2636</v>
      </c>
      <c r="G82" s="659" t="s">
        <v>2637</v>
      </c>
      <c r="H82" s="538"/>
      <c r="I82" s="538"/>
      <c r="J82" s="538"/>
      <c r="K82" s="538"/>
      <c r="L82" s="538"/>
      <c r="M82" s="1379"/>
      <c r="N82" s="1150"/>
      <c r="O82" s="1150"/>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2638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8"/>
      <c r="O88" s="1148"/>
      <c r="P88" s="2623"/>
      <c r="Q88" s="503"/>
    </row>
    <row r="89" spans="1:17" s="117" customFormat="1" ht="15.75" thickBot="1">
      <c r="A89" s="578"/>
      <c r="B89" s="542"/>
      <c r="C89" s="559"/>
      <c r="D89" s="535"/>
      <c r="E89" s="535"/>
      <c r="F89" s="535"/>
      <c r="G89" s="535"/>
      <c r="H89" s="535"/>
      <c r="I89" s="535"/>
      <c r="J89" s="535"/>
      <c r="K89" s="535"/>
      <c r="L89" s="535"/>
      <c r="M89" s="535"/>
      <c r="N89" s="1150"/>
      <c r="O89" s="1150"/>
      <c r="P89" s="2623"/>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4"/>
      <c r="Q91" s="558"/>
    </row>
    <row r="92" spans="1:17" ht="15.75" thickTop="1">
      <c r="A92" s="533"/>
      <c r="B92" s="537" t="str">
        <f>B28</f>
        <v>楼层</v>
      </c>
      <c r="C92" s="553"/>
      <c r="D92" s="553"/>
      <c r="E92" s="553"/>
      <c r="F92" s="553"/>
      <c r="G92" s="553"/>
      <c r="H92" s="553"/>
      <c r="I92" s="553"/>
      <c r="J92" s="553"/>
      <c r="K92" s="553"/>
      <c r="L92" s="579"/>
      <c r="M92" s="580"/>
      <c r="N92" s="1149"/>
      <c r="O92" s="1149"/>
      <c r="P92" s="2623"/>
      <c r="Q92" s="503"/>
    </row>
    <row r="93" spans="1:17" ht="15.75" thickBot="1">
      <c r="A93" s="533"/>
      <c r="B93" s="542"/>
      <c r="C93" s="535"/>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2521</v>
      </c>
      <c r="B100" s="527" t="s">
        <v>2639</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3"/>
      <c r="Q101" s="503"/>
    </row>
    <row r="102" spans="1:17" ht="15.75" thickTop="1">
      <c r="A102" s="533"/>
      <c r="B102" s="537" t="s">
        <v>2571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3"/>
      <c r="Q106" s="503"/>
    </row>
    <row r="107" spans="1:17" ht="15" thickTop="1">
      <c r="A107" s="598"/>
      <c r="B107" s="537" t="s">
        <v>2574</v>
      </c>
      <c r="C107" s="553"/>
      <c r="D107" s="553"/>
      <c r="E107" s="553"/>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3"/>
      <c r="Q108" s="503"/>
    </row>
    <row r="109" spans="1:17" ht="15" thickTop="1">
      <c r="A109" s="598"/>
      <c r="B109" s="537" t="s">
        <v>1961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3"/>
      <c r="Q111" s="503"/>
    </row>
    <row r="112" spans="1:17" s="470" customFormat="1" ht="15" thickTop="1">
      <c r="A112" s="592"/>
      <c r="B112" s="537" t="s">
        <v>2576</v>
      </c>
      <c r="C112" s="553"/>
      <c r="D112" s="553"/>
      <c r="E112" s="553"/>
      <c r="F112" s="553"/>
      <c r="G112" s="553"/>
      <c r="H112" s="582"/>
      <c r="I112" s="582"/>
      <c r="J112" s="582"/>
      <c r="K112" s="583"/>
      <c r="L112" s="584"/>
      <c r="M112" s="585"/>
      <c r="N112" s="1151"/>
      <c r="O112" s="1151"/>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4"/>
      <c r="Q113" s="558"/>
    </row>
    <row r="114" spans="1:17" ht="15" thickTop="1">
      <c r="A114" s="598"/>
      <c r="B114" s="537" t="s">
        <v>2640</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3"/>
      <c r="Q115" s="503"/>
    </row>
    <row r="116" spans="1:17" ht="15" thickTop="1">
      <c r="A116" s="598"/>
      <c r="B116" s="537" t="s">
        <v>2641</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2642</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2643</v>
      </c>
      <c r="C120" s="582"/>
      <c r="D120" s="582"/>
      <c r="E120" s="582"/>
      <c r="F120" s="582"/>
      <c r="G120" s="554"/>
      <c r="H120" s="554"/>
      <c r="I120" s="554"/>
      <c r="J120" s="554"/>
      <c r="K120" s="554"/>
      <c r="L120" s="555"/>
      <c r="M120" s="556"/>
      <c r="N120" s="1151"/>
      <c r="O120" s="1151"/>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2644</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IF(C2="——",ROUND(C50*D3/10000,0),ROUND(C50*D3/10000,0)-D2)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IF(C2="——",C50,ROUND(B2*10000/D3,0))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77" t="s">
        <v>2609</v>
      </c>
      <c r="Q4" s="3278"/>
      <c r="R4" s="3272" t="s">
        <v>2605</v>
      </c>
      <c r="S4" s="3273"/>
      <c r="T4" s="3272" t="s">
        <v>2606</v>
      </c>
      <c r="U4" s="3273"/>
      <c r="V4" s="3281" t="s">
        <v>2607</v>
      </c>
      <c r="W4" s="3281"/>
      <c r="X4" s="2663"/>
      <c r="Y4" s="3272" t="s">
        <v>2609</v>
      </c>
      <c r="Z4" s="3273"/>
      <c r="AA4" s="3271" t="s">
        <v>2605</v>
      </c>
      <c r="AB4" s="3271" t="s">
        <v>2606</v>
      </c>
      <c r="AC4" s="3274" t="s">
        <v>2607</v>
      </c>
    </row>
    <row r="5" spans="1:29" ht="15">
      <c r="A5" s="403"/>
      <c r="B5" s="404"/>
      <c r="C5" s="3236" t="s">
        <v>2500</v>
      </c>
      <c r="D5" s="3237"/>
      <c r="E5" s="3234" t="s">
        <v>2501</v>
      </c>
      <c r="F5" s="3235"/>
      <c r="G5" s="3236" t="s">
        <v>2502</v>
      </c>
      <c r="H5" s="3237"/>
      <c r="I5" s="3236" t="s">
        <v>2503</v>
      </c>
      <c r="J5" s="3237"/>
      <c r="K5" s="609"/>
      <c r="L5" s="1127"/>
      <c r="M5" s="1128"/>
      <c r="N5" s="1128"/>
      <c r="O5" s="1128"/>
      <c r="P5" s="3279"/>
      <c r="Q5" s="3250"/>
      <c r="R5" s="3232"/>
      <c r="S5" s="3233"/>
      <c r="T5" s="3232"/>
      <c r="U5" s="3233"/>
      <c r="V5" s="3255"/>
      <c r="W5" s="3255"/>
      <c r="X5" s="1810"/>
      <c r="Y5" s="3232"/>
      <c r="Z5" s="3233"/>
      <c r="AA5" s="3226"/>
      <c r="AB5" s="3226"/>
      <c r="AC5" s="3275"/>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80"/>
      <c r="Q6" s="3252"/>
      <c r="R6" s="3232"/>
      <c r="S6" s="3233"/>
      <c r="T6" s="3253"/>
      <c r="U6" s="3254"/>
      <c r="V6" s="3255"/>
      <c r="W6" s="3255"/>
      <c r="X6" s="1810"/>
      <c r="Y6" s="3253"/>
      <c r="Z6" s="3254"/>
      <c r="AA6" s="3227"/>
      <c r="AB6" s="3227"/>
      <c r="AC6" s="3276"/>
    </row>
    <row r="7" spans="1:29" s="117" customFormat="1" ht="15.75" thickBot="1">
      <c r="A7" s="407" t="s">
        <v>2506</v>
      </c>
      <c r="B7" s="408"/>
      <c r="C7" s="409">
        <f>'数据-取费表'!B2</f>
        <v>43164</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82"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2664" t="e">
        <f>D7/J7</f>
        <v>#DIV/0!</v>
      </c>
    </row>
    <row r="8" spans="1:29" s="117" customFormat="1" ht="15.75" thickBot="1">
      <c r="A8" s="407" t="s">
        <v>2508</v>
      </c>
      <c r="B8" s="408"/>
      <c r="C8" s="413" t="s">
        <v>2610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82" t="s">
        <v>2510</v>
      </c>
      <c r="Q8" s="3229"/>
      <c r="R8" s="769" t="s">
        <v>17</v>
      </c>
      <c r="S8" s="770">
        <f t="shared" si="0"/>
        <v>0</v>
      </c>
      <c r="T8" s="769" t="s">
        <v>17</v>
      </c>
      <c r="U8" s="770">
        <f t="shared" si="1"/>
        <v>0</v>
      </c>
      <c r="V8" s="769" t="s">
        <v>17</v>
      </c>
      <c r="W8" s="770">
        <f t="shared" si="2"/>
        <v>0</v>
      </c>
      <c r="X8" s="771"/>
      <c r="Y8" s="3228" t="s">
        <v>2510</v>
      </c>
      <c r="Z8" s="3229"/>
      <c r="AA8" s="772" t="e">
        <f t="shared" ref="AA8:AA47" si="3">D8/F8</f>
        <v>#DIV/0!</v>
      </c>
      <c r="AB8" s="772" t="e">
        <f t="shared" ref="AB8:AB47" si="4">D8/H8</f>
        <v>#DIV/0!</v>
      </c>
      <c r="AC8" s="2664" t="e">
        <f t="shared" ref="AC8:AC47" si="5">D8/J8</f>
        <v>#DIV/0!</v>
      </c>
    </row>
    <row r="9" spans="1:29" s="117" customFormat="1">
      <c r="A9" s="414" t="s">
        <v>2511</v>
      </c>
      <c r="B9" s="71" t="s">
        <v>2512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42"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2664">
        <f t="shared" si="5"/>
        <v>1</v>
      </c>
    </row>
    <row r="10" spans="1:29" s="426" customFormat="1" ht="27">
      <c r="A10" s="420"/>
      <c r="B10" s="421" t="s">
        <v>2515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42"/>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64">
        <f t="shared" si="5"/>
        <v>1</v>
      </c>
    </row>
    <row r="11" spans="1:29" ht="15">
      <c r="A11" s="427"/>
      <c r="B11" s="421" t="s">
        <v>2516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42"/>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42"/>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42"/>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242"/>
      <c r="Q14" s="1792">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64">
        <f t="shared" si="5"/>
        <v>1</v>
      </c>
    </row>
    <row r="15" spans="1:29" ht="15">
      <c r="A15" s="439" t="s">
        <v>2517</v>
      </c>
      <c r="B15" s="628" t="s">
        <v>2645</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69" t="s">
        <v>2518</v>
      </c>
      <c r="Q15" s="1807" t="str">
        <f t="shared" si="6"/>
        <v>办公集聚程度</v>
      </c>
      <c r="R15" s="773" t="s">
        <v>17</v>
      </c>
      <c r="S15" s="774">
        <f t="shared" si="0"/>
        <v>100</v>
      </c>
      <c r="T15" s="773" t="s">
        <v>17</v>
      </c>
      <c r="U15" s="774">
        <f t="shared" si="1"/>
        <v>100</v>
      </c>
      <c r="V15" s="773" t="s">
        <v>17</v>
      </c>
      <c r="W15" s="774">
        <f t="shared" si="2"/>
        <v>100</v>
      </c>
      <c r="X15" s="1810"/>
      <c r="Y15" s="3262" t="s">
        <v>2518</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270"/>
      <c r="Q16" s="1807"/>
      <c r="R16" s="773"/>
      <c r="S16" s="774"/>
      <c r="T16" s="773"/>
      <c r="U16" s="774"/>
      <c r="V16" s="773"/>
      <c r="W16" s="774"/>
      <c r="X16" s="1810"/>
      <c r="Y16" s="3263"/>
      <c r="Z16" s="1811"/>
      <c r="AA16" s="1808">
        <v>1</v>
      </c>
      <c r="AB16" s="1808">
        <v>1</v>
      </c>
      <c r="AC16" s="2667">
        <v>1</v>
      </c>
    </row>
    <row r="17" spans="1:29" ht="85.5">
      <c r="A17" s="427"/>
      <c r="B17" s="630" t="s">
        <v>2057</v>
      </c>
      <c r="C17" s="2668" t="str">
        <f>估价对象房地状况!C6</f>
        <v>估价对象周边道路状况好、公共交通通达情况好、停车便捷程度好，综合评价交通便捷度较好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70"/>
      <c r="Q17" s="1807" t="str">
        <f>B17</f>
        <v>交通便捷度</v>
      </c>
      <c r="R17" s="773" t="s">
        <v>17</v>
      </c>
      <c r="S17" s="774">
        <f>F17</f>
        <v>100</v>
      </c>
      <c r="T17" s="773" t="s">
        <v>17</v>
      </c>
      <c r="U17" s="774">
        <f>H17</f>
        <v>100</v>
      </c>
      <c r="V17" s="773" t="s">
        <v>17</v>
      </c>
      <c r="W17" s="774">
        <f>J17</f>
        <v>100</v>
      </c>
      <c r="X17" s="1810"/>
      <c r="Y17" s="3263"/>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270"/>
      <c r="Q18" s="1807"/>
      <c r="R18" s="773"/>
      <c r="S18" s="774"/>
      <c r="T18" s="773"/>
      <c r="U18" s="774"/>
      <c r="V18" s="773"/>
      <c r="W18" s="774"/>
      <c r="X18" s="1810"/>
      <c r="Y18" s="3263"/>
      <c r="Z18" s="1811"/>
      <c r="AA18" s="1808">
        <v>1</v>
      </c>
      <c r="AB18" s="1808">
        <v>1</v>
      </c>
      <c r="AC18" s="2667">
        <v>1</v>
      </c>
    </row>
    <row r="19" spans="1:29" ht="42.75">
      <c r="A19" s="427"/>
      <c r="B19" s="630" t="s">
        <v>2646</v>
      </c>
      <c r="C19" s="2668"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70"/>
      <c r="Q19" s="1807" t="str">
        <f>B19</f>
        <v>公共配套设施</v>
      </c>
      <c r="R19" s="773" t="s">
        <v>17</v>
      </c>
      <c r="S19" s="774">
        <f>F19</f>
        <v>100</v>
      </c>
      <c r="T19" s="773" t="s">
        <v>17</v>
      </c>
      <c r="U19" s="774">
        <f>H19</f>
        <v>100</v>
      </c>
      <c r="V19" s="773" t="s">
        <v>17</v>
      </c>
      <c r="W19" s="774">
        <f>J19</f>
        <v>100</v>
      </c>
      <c r="X19" s="1810"/>
      <c r="Y19" s="3263"/>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270"/>
      <c r="Q20" s="1807"/>
      <c r="R20" s="773"/>
      <c r="S20" s="774"/>
      <c r="T20" s="773"/>
      <c r="U20" s="774"/>
      <c r="V20" s="773"/>
      <c r="W20" s="774"/>
      <c r="X20" s="1810"/>
      <c r="Y20" s="3263"/>
      <c r="Z20" s="1811"/>
      <c r="AA20" s="1808">
        <v>1</v>
      </c>
      <c r="AB20" s="1808">
        <v>1</v>
      </c>
      <c r="AC20" s="2667">
        <v>1</v>
      </c>
    </row>
    <row r="21" spans="1:29" ht="28.5">
      <c r="A21" s="427"/>
      <c r="B21" s="632" t="s">
        <v>2647</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70"/>
      <c r="Q21" s="1807" t="str">
        <f>B21</f>
        <v>基础设施水平</v>
      </c>
      <c r="R21" s="773" t="s">
        <v>17</v>
      </c>
      <c r="S21" s="774">
        <f>F21</f>
        <v>100</v>
      </c>
      <c r="T21" s="773" t="s">
        <v>17</v>
      </c>
      <c r="U21" s="774">
        <f>H21</f>
        <v>100</v>
      </c>
      <c r="V21" s="773" t="s">
        <v>17</v>
      </c>
      <c r="W21" s="774">
        <f>J21</f>
        <v>100</v>
      </c>
      <c r="X21" s="1810"/>
      <c r="Y21" s="3263"/>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270"/>
      <c r="Q22" s="1807"/>
      <c r="R22" s="773"/>
      <c r="S22" s="774"/>
      <c r="T22" s="773"/>
      <c r="U22" s="774"/>
      <c r="V22" s="773"/>
      <c r="W22" s="774"/>
      <c r="X22" s="1810"/>
      <c r="Y22" s="3263"/>
      <c r="Z22" s="1811"/>
      <c r="AA22" s="1808">
        <v>1</v>
      </c>
      <c r="AB22" s="1808">
        <v>1</v>
      </c>
      <c r="AC22" s="2667">
        <v>1</v>
      </c>
    </row>
    <row r="23" spans="1:29" ht="42.75">
      <c r="A23" s="427"/>
      <c r="B23" s="630" t="s">
        <v>2648</v>
      </c>
      <c r="C23" s="2668" t="str">
        <f>估价对象房地状况!C9</f>
        <v>区域自然环境及人文环境好；综合评价环境状况较好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70"/>
      <c r="Q23" s="1807" t="str">
        <f>B23</f>
        <v>环境质量</v>
      </c>
      <c r="R23" s="773" t="s">
        <v>17</v>
      </c>
      <c r="S23" s="774">
        <f>F23</f>
        <v>100</v>
      </c>
      <c r="T23" s="773" t="s">
        <v>17</v>
      </c>
      <c r="U23" s="774">
        <f>H23</f>
        <v>100</v>
      </c>
      <c r="V23" s="773" t="s">
        <v>17</v>
      </c>
      <c r="W23" s="774">
        <f>J23</f>
        <v>100</v>
      </c>
      <c r="X23" s="1810"/>
      <c r="Y23" s="3263"/>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270"/>
      <c r="Q24" s="1807"/>
      <c r="R24" s="773"/>
      <c r="S24" s="774"/>
      <c r="T24" s="773"/>
      <c r="U24" s="774"/>
      <c r="V24" s="773"/>
      <c r="W24" s="774"/>
      <c r="X24" s="1810"/>
      <c r="Y24" s="3263"/>
      <c r="Z24" s="1811"/>
      <c r="AA24" s="1808">
        <v>1</v>
      </c>
      <c r="AB24" s="1808">
        <v>1</v>
      </c>
      <c r="AC24" s="2667">
        <v>1</v>
      </c>
    </row>
    <row r="25" spans="1:29" ht="27">
      <c r="A25" s="403"/>
      <c r="B25" s="630" t="s">
        <v>2649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270"/>
      <c r="Q25" s="1807" t="str">
        <f>B25</f>
        <v>毗邻道路的类型与等级</v>
      </c>
      <c r="R25" s="773" t="s">
        <v>17</v>
      </c>
      <c r="S25" s="774">
        <f>F25</f>
        <v>100</v>
      </c>
      <c r="T25" s="773" t="s">
        <v>17</v>
      </c>
      <c r="U25" s="774">
        <f>H25</f>
        <v>100</v>
      </c>
      <c r="V25" s="773" t="s">
        <v>17</v>
      </c>
      <c r="W25" s="774">
        <f>J25</f>
        <v>100</v>
      </c>
      <c r="X25" s="1810"/>
      <c r="Y25" s="3263"/>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270"/>
      <c r="Q26" s="1807"/>
      <c r="R26" s="773"/>
      <c r="S26" s="774"/>
      <c r="T26" s="773"/>
      <c r="U26" s="774"/>
      <c r="V26" s="773"/>
      <c r="W26" s="774"/>
      <c r="X26" s="1810"/>
      <c r="Y26" s="3263"/>
      <c r="Z26" s="1811"/>
      <c r="AA26" s="1808">
        <v>1</v>
      </c>
      <c r="AB26" s="1808">
        <v>1</v>
      </c>
      <c r="AC26" s="2667">
        <v>1</v>
      </c>
    </row>
    <row r="27" spans="1:29" ht="15">
      <c r="A27" s="427"/>
      <c r="B27" s="631" t="s">
        <v>2617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70"/>
      <c r="Q27" s="1807" t="str">
        <f t="shared" ref="Q27:Q47" si="11">B27</f>
        <v>楼层</v>
      </c>
      <c r="R27" s="773" t="s">
        <v>17</v>
      </c>
      <c r="S27" s="774">
        <f>F27</f>
        <v>100</v>
      </c>
      <c r="T27" s="773" t="s">
        <v>17</v>
      </c>
      <c r="U27" s="774">
        <f>H27</f>
        <v>100</v>
      </c>
      <c r="V27" s="773" t="s">
        <v>17</v>
      </c>
      <c r="W27" s="774">
        <f>J27</f>
        <v>100</v>
      </c>
      <c r="X27" s="1810"/>
      <c r="Y27" s="3263"/>
      <c r="Z27" s="1811" t="str">
        <f>Q27</f>
        <v>楼层</v>
      </c>
      <c r="AA27" s="1808">
        <f t="shared" si="3"/>
        <v>1</v>
      </c>
      <c r="AB27" s="1808">
        <f t="shared" si="4"/>
        <v>1</v>
      </c>
      <c r="AC27" s="2667">
        <f t="shared" si="5"/>
        <v>1</v>
      </c>
    </row>
    <row r="28" spans="1:29" s="117" customFormat="1" ht="15">
      <c r="A28" s="430"/>
      <c r="B28" s="630" t="s">
        <v>2650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270"/>
      <c r="Q28" s="1792" t="str">
        <f t="shared" si="11"/>
        <v>朝向</v>
      </c>
      <c r="R28" s="769" t="s">
        <v>17</v>
      </c>
      <c r="S28" s="770">
        <f>F28</f>
        <v>100</v>
      </c>
      <c r="T28" s="769" t="s">
        <v>17</v>
      </c>
      <c r="U28" s="770">
        <f>H28</f>
        <v>100</v>
      </c>
      <c r="V28" s="769" t="s">
        <v>17</v>
      </c>
      <c r="W28" s="770">
        <f>J28</f>
        <v>100</v>
      </c>
      <c r="X28" s="771"/>
      <c r="Y28" s="3263"/>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270"/>
      <c r="Q29" s="1807">
        <f t="shared" si="11"/>
        <v>111</v>
      </c>
      <c r="R29" s="773" t="s">
        <v>17</v>
      </c>
      <c r="S29" s="774">
        <f t="shared" ref="S29:S47" si="12">F29</f>
        <v>100</v>
      </c>
      <c r="T29" s="773" t="s">
        <v>17</v>
      </c>
      <c r="U29" s="774">
        <f t="shared" ref="U29:U47" si="13">H29</f>
        <v>100</v>
      </c>
      <c r="V29" s="773" t="s">
        <v>17</v>
      </c>
      <c r="W29" s="774">
        <f t="shared" ref="W29:W47" si="14">J29</f>
        <v>100</v>
      </c>
      <c r="X29" s="1810"/>
      <c r="Y29" s="3263"/>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270"/>
      <c r="Q30" s="1807">
        <f t="shared" si="11"/>
        <v>111</v>
      </c>
      <c r="R30" s="773" t="s">
        <v>17</v>
      </c>
      <c r="S30" s="774">
        <f t="shared" si="12"/>
        <v>100</v>
      </c>
      <c r="T30" s="773" t="s">
        <v>17</v>
      </c>
      <c r="U30" s="774">
        <f t="shared" si="13"/>
        <v>100</v>
      </c>
      <c r="V30" s="773" t="s">
        <v>17</v>
      </c>
      <c r="W30" s="774">
        <f t="shared" si="14"/>
        <v>100</v>
      </c>
      <c r="X30" s="1810"/>
      <c r="Y30" s="3263"/>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270"/>
      <c r="Q31" s="1807">
        <f t="shared" si="11"/>
        <v>111</v>
      </c>
      <c r="R31" s="773" t="s">
        <v>17</v>
      </c>
      <c r="S31" s="774">
        <f t="shared" si="12"/>
        <v>100</v>
      </c>
      <c r="T31" s="773" t="s">
        <v>17</v>
      </c>
      <c r="U31" s="774">
        <f t="shared" si="13"/>
        <v>100</v>
      </c>
      <c r="V31" s="773" t="s">
        <v>17</v>
      </c>
      <c r="W31" s="774">
        <f t="shared" si="14"/>
        <v>100</v>
      </c>
      <c r="X31" s="1810"/>
      <c r="Y31" s="3263"/>
      <c r="Z31" s="1811">
        <f t="shared" si="15"/>
        <v>111</v>
      </c>
      <c r="AA31" s="1808">
        <f t="shared" si="3"/>
        <v>1</v>
      </c>
      <c r="AB31" s="1808">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270"/>
      <c r="Q32" s="1807">
        <f t="shared" si="11"/>
        <v>111</v>
      </c>
      <c r="R32" s="773" t="s">
        <v>17</v>
      </c>
      <c r="S32" s="774">
        <f t="shared" si="12"/>
        <v>100</v>
      </c>
      <c r="T32" s="773" t="s">
        <v>17</v>
      </c>
      <c r="U32" s="774">
        <f t="shared" si="13"/>
        <v>100</v>
      </c>
      <c r="V32" s="773" t="s">
        <v>17</v>
      </c>
      <c r="W32" s="774">
        <f t="shared" si="14"/>
        <v>100</v>
      </c>
      <c r="X32" s="1810"/>
      <c r="Y32" s="3263"/>
      <c r="Z32" s="1811">
        <f t="shared" si="15"/>
        <v>111</v>
      </c>
      <c r="AA32" s="1808">
        <f t="shared" si="3"/>
        <v>1</v>
      </c>
      <c r="AB32" s="1808">
        <f t="shared" si="4"/>
        <v>1</v>
      </c>
      <c r="AC32" s="2667">
        <f t="shared" si="5"/>
        <v>1</v>
      </c>
    </row>
    <row r="33" spans="1:29" ht="15">
      <c r="A33" s="439" t="s">
        <v>2521</v>
      </c>
      <c r="B33" s="71" t="s">
        <v>2651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64" t="s">
        <v>2523</v>
      </c>
      <c r="Q33" s="1807" t="str">
        <f t="shared" si="11"/>
        <v>建筑类型</v>
      </c>
      <c r="R33" s="773" t="s">
        <v>17</v>
      </c>
      <c r="S33" s="774">
        <f t="shared" si="12"/>
        <v>100</v>
      </c>
      <c r="T33" s="773" t="s">
        <v>17</v>
      </c>
      <c r="U33" s="774">
        <f t="shared" si="13"/>
        <v>100</v>
      </c>
      <c r="V33" s="773" t="s">
        <v>17</v>
      </c>
      <c r="W33" s="774">
        <f t="shared" si="14"/>
        <v>100</v>
      </c>
      <c r="X33" s="1810"/>
      <c r="Y33" s="3267" t="s">
        <v>2523</v>
      </c>
      <c r="Z33" s="1811" t="str">
        <f t="shared" si="15"/>
        <v>建筑类型</v>
      </c>
      <c r="AA33" s="1808">
        <f t="shared" si="3"/>
        <v>1</v>
      </c>
      <c r="AB33" s="1808">
        <f t="shared" si="4"/>
        <v>1</v>
      </c>
      <c r="AC33" s="2667">
        <f t="shared" si="5"/>
        <v>1</v>
      </c>
    </row>
    <row r="34" spans="1:29" s="470" customFormat="1" ht="15">
      <c r="A34" s="467"/>
      <c r="B34" s="421" t="s">
        <v>2524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65"/>
      <c r="Q34" s="775" t="str">
        <f t="shared" si="11"/>
        <v>项目建筑规模</v>
      </c>
      <c r="R34" s="776" t="s">
        <v>17</v>
      </c>
      <c r="S34" s="777" t="e">
        <f t="shared" si="12"/>
        <v>#N/A</v>
      </c>
      <c r="T34" s="776" t="s">
        <v>17</v>
      </c>
      <c r="U34" s="777" t="e">
        <f t="shared" si="13"/>
        <v>#N/A</v>
      </c>
      <c r="V34" s="776" t="s">
        <v>17</v>
      </c>
      <c r="W34" s="777" t="e">
        <f t="shared" si="14"/>
        <v>#N/A</v>
      </c>
      <c r="X34" s="778"/>
      <c r="Y34" s="3267"/>
      <c r="Z34" s="779" t="str">
        <f t="shared" si="15"/>
        <v>项目建筑规模</v>
      </c>
      <c r="AA34" s="1808" t="e">
        <f t="shared" si="3"/>
        <v>#N/A</v>
      </c>
      <c r="AB34" s="1808" t="e">
        <f t="shared" si="4"/>
        <v>#N/A</v>
      </c>
      <c r="AC34" s="2667" t="e">
        <f t="shared" si="5"/>
        <v>#N/A</v>
      </c>
    </row>
    <row r="35" spans="1:29" ht="15">
      <c r="A35" s="471"/>
      <c r="B35" s="421" t="s">
        <v>2525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65"/>
      <c r="Q35" s="1807" t="str">
        <f t="shared" si="11"/>
        <v>建筑结构</v>
      </c>
      <c r="R35" s="773" t="s">
        <v>17</v>
      </c>
      <c r="S35" s="774">
        <f t="shared" si="12"/>
        <v>100</v>
      </c>
      <c r="T35" s="773" t="s">
        <v>17</v>
      </c>
      <c r="U35" s="774">
        <f t="shared" si="13"/>
        <v>100</v>
      </c>
      <c r="V35" s="773" t="s">
        <v>17</v>
      </c>
      <c r="W35" s="774">
        <f t="shared" si="14"/>
        <v>100</v>
      </c>
      <c r="X35" s="1810"/>
      <c r="Y35" s="3267"/>
      <c r="Z35" s="1811" t="str">
        <f t="shared" si="15"/>
        <v>建筑结构</v>
      </c>
      <c r="AA35" s="1808">
        <f t="shared" si="3"/>
        <v>1</v>
      </c>
      <c r="AB35" s="1808">
        <f t="shared" si="4"/>
        <v>1</v>
      </c>
      <c r="AC35" s="2667">
        <f t="shared" si="5"/>
        <v>1</v>
      </c>
    </row>
    <row r="36" spans="1:29" ht="15">
      <c r="A36" s="471"/>
      <c r="B36" s="421" t="s">
        <v>2619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65"/>
      <c r="Q36" s="1807" t="str">
        <f t="shared" si="11"/>
        <v>公共部分装修</v>
      </c>
      <c r="R36" s="773" t="s">
        <v>17</v>
      </c>
      <c r="S36" s="774">
        <f t="shared" si="12"/>
        <v>100</v>
      </c>
      <c r="T36" s="773" t="s">
        <v>17</v>
      </c>
      <c r="U36" s="774">
        <f t="shared" si="13"/>
        <v>100</v>
      </c>
      <c r="V36" s="773" t="s">
        <v>17</v>
      </c>
      <c r="W36" s="774">
        <f t="shared" si="14"/>
        <v>100</v>
      </c>
      <c r="X36" s="1810"/>
      <c r="Y36" s="3267"/>
      <c r="Z36" s="1811" t="str">
        <f t="shared" si="15"/>
        <v>公共部分装修</v>
      </c>
      <c r="AA36" s="1808">
        <f t="shared" si="3"/>
        <v>1</v>
      </c>
      <c r="AB36" s="1808">
        <f t="shared" si="4"/>
        <v>1</v>
      </c>
      <c r="AC36" s="2667">
        <f t="shared" si="5"/>
        <v>1</v>
      </c>
    </row>
    <row r="37" spans="1:29" ht="15">
      <c r="A37" s="471"/>
      <c r="B37" s="421" t="s">
        <v>2620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65"/>
      <c r="Q37" s="1807" t="str">
        <f t="shared" si="11"/>
        <v>成新度</v>
      </c>
      <c r="R37" s="773" t="s">
        <v>17</v>
      </c>
      <c r="S37" s="774" t="e">
        <f t="shared" si="12"/>
        <v>#N/A</v>
      </c>
      <c r="T37" s="773" t="s">
        <v>17</v>
      </c>
      <c r="U37" s="774" t="e">
        <f t="shared" si="13"/>
        <v>#N/A</v>
      </c>
      <c r="V37" s="773" t="s">
        <v>17</v>
      </c>
      <c r="W37" s="774" t="e">
        <f t="shared" si="14"/>
        <v>#N/A</v>
      </c>
      <c r="X37" s="1810"/>
      <c r="Y37" s="3267"/>
      <c r="Z37" s="1811" t="str">
        <f t="shared" si="15"/>
        <v>成新度</v>
      </c>
      <c r="AA37" s="1808" t="e">
        <f t="shared" si="3"/>
        <v>#N/A</v>
      </c>
      <c r="AB37" s="1808" t="e">
        <f t="shared" si="4"/>
        <v>#N/A</v>
      </c>
      <c r="AC37" s="2667" t="e">
        <f t="shared" si="5"/>
        <v>#N/A</v>
      </c>
    </row>
    <row r="38" spans="1:29" s="117" customFormat="1" ht="15">
      <c r="A38" s="472"/>
      <c r="B38" s="421" t="s">
        <v>2652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65"/>
      <c r="Q38" s="1792" t="str">
        <f t="shared" si="11"/>
        <v>写字楼等级</v>
      </c>
      <c r="R38" s="769" t="s">
        <v>17</v>
      </c>
      <c r="S38" s="770">
        <f t="shared" si="12"/>
        <v>100</v>
      </c>
      <c r="T38" s="769" t="s">
        <v>17</v>
      </c>
      <c r="U38" s="770">
        <f t="shared" si="13"/>
        <v>100</v>
      </c>
      <c r="V38" s="769" t="s">
        <v>17</v>
      </c>
      <c r="W38" s="770">
        <f t="shared" si="14"/>
        <v>100</v>
      </c>
      <c r="X38" s="771"/>
      <c r="Y38" s="3267"/>
      <c r="Z38" s="55" t="str">
        <f t="shared" si="15"/>
        <v>写字楼等级</v>
      </c>
      <c r="AA38" s="772">
        <f t="shared" si="3"/>
        <v>1</v>
      </c>
      <c r="AB38" s="772">
        <f t="shared" si="4"/>
        <v>1</v>
      </c>
      <c r="AC38" s="2664">
        <f t="shared" si="5"/>
        <v>1</v>
      </c>
    </row>
    <row r="39" spans="1:29" ht="15">
      <c r="A39" s="471"/>
      <c r="B39" s="421" t="s">
        <v>2653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65" t="s">
        <v>2523</v>
      </c>
      <c r="Q39" s="1807" t="str">
        <f t="shared" si="11"/>
        <v>物业管理</v>
      </c>
      <c r="R39" s="773" t="s">
        <v>17</v>
      </c>
      <c r="S39" s="774">
        <f t="shared" si="12"/>
        <v>100</v>
      </c>
      <c r="T39" s="773" t="s">
        <v>17</v>
      </c>
      <c r="U39" s="774">
        <f t="shared" si="13"/>
        <v>100</v>
      </c>
      <c r="V39" s="773" t="s">
        <v>17</v>
      </c>
      <c r="W39" s="774">
        <f t="shared" si="14"/>
        <v>100</v>
      </c>
      <c r="X39" s="1810"/>
      <c r="Y39" s="3267" t="s">
        <v>2523</v>
      </c>
      <c r="Z39" s="1811" t="str">
        <f t="shared" si="15"/>
        <v>物业管理</v>
      </c>
      <c r="AA39" s="1808">
        <f t="shared" si="3"/>
        <v>1</v>
      </c>
      <c r="AB39" s="1808">
        <f t="shared" si="4"/>
        <v>1</v>
      </c>
      <c r="AC39" s="2667">
        <f t="shared" si="5"/>
        <v>1</v>
      </c>
    </row>
    <row r="40" spans="1:29" ht="15">
      <c r="A40" s="471"/>
      <c r="B40" s="421" t="s">
        <v>2621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65"/>
      <c r="Q40" s="1807" t="str">
        <f t="shared" si="11"/>
        <v>市政基础设施</v>
      </c>
      <c r="R40" s="773" t="s">
        <v>17</v>
      </c>
      <c r="S40" s="774">
        <f t="shared" si="12"/>
        <v>100</v>
      </c>
      <c r="T40" s="773" t="s">
        <v>17</v>
      </c>
      <c r="U40" s="774">
        <f t="shared" si="13"/>
        <v>100</v>
      </c>
      <c r="V40" s="773" t="s">
        <v>17</v>
      </c>
      <c r="W40" s="774">
        <f t="shared" si="14"/>
        <v>100</v>
      </c>
      <c r="X40" s="1810"/>
      <c r="Y40" s="3267"/>
      <c r="Z40" s="1811" t="str">
        <f t="shared" si="15"/>
        <v>市政基础设施</v>
      </c>
      <c r="AA40" s="1808">
        <f t="shared" si="3"/>
        <v>1</v>
      </c>
      <c r="AB40" s="1808">
        <f t="shared" si="4"/>
        <v>1</v>
      </c>
      <c r="AC40" s="2667">
        <f t="shared" si="5"/>
        <v>1</v>
      </c>
    </row>
    <row r="41" spans="1:29" ht="15">
      <c r="A41" s="471"/>
      <c r="B41" s="421" t="s">
        <v>2623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65"/>
      <c r="Q41" s="1807" t="str">
        <f t="shared" si="11"/>
        <v>层高</v>
      </c>
      <c r="R41" s="773" t="s">
        <v>17</v>
      </c>
      <c r="S41" s="774">
        <f t="shared" si="12"/>
        <v>100</v>
      </c>
      <c r="T41" s="773" t="s">
        <v>17</v>
      </c>
      <c r="U41" s="774">
        <f t="shared" si="13"/>
        <v>100</v>
      </c>
      <c r="V41" s="773" t="s">
        <v>17</v>
      </c>
      <c r="W41" s="774">
        <f t="shared" si="14"/>
        <v>100</v>
      </c>
      <c r="X41" s="1810"/>
      <c r="Y41" s="3267"/>
      <c r="Z41" s="1811" t="str">
        <f t="shared" si="15"/>
        <v>层高</v>
      </c>
      <c r="AA41" s="1808">
        <f t="shared" si="3"/>
        <v>1</v>
      </c>
      <c r="AB41" s="1808">
        <f t="shared" si="4"/>
        <v>1</v>
      </c>
      <c r="AC41" s="2667">
        <f t="shared" si="5"/>
        <v>1</v>
      </c>
    </row>
    <row r="42" spans="1:29" s="470" customFormat="1" ht="15">
      <c r="A42" s="467"/>
      <c r="B42" s="1809" t="s">
        <v>2654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65"/>
      <c r="Q42" s="775" t="str">
        <f t="shared" si="11"/>
        <v>单套建筑面积</v>
      </c>
      <c r="R42" s="776" t="s">
        <v>17</v>
      </c>
      <c r="S42" s="777">
        <f t="shared" si="12"/>
        <v>100</v>
      </c>
      <c r="T42" s="776" t="s">
        <v>17</v>
      </c>
      <c r="U42" s="777">
        <f t="shared" si="13"/>
        <v>100</v>
      </c>
      <c r="V42" s="776" t="s">
        <v>17</v>
      </c>
      <c r="W42" s="777">
        <f t="shared" si="14"/>
        <v>100</v>
      </c>
      <c r="X42" s="778"/>
      <c r="Y42" s="3267"/>
      <c r="Z42" s="779" t="str">
        <f t="shared" si="15"/>
        <v>单套建筑面积</v>
      </c>
      <c r="AA42" s="1808">
        <f t="shared" si="3"/>
        <v>1</v>
      </c>
      <c r="AB42" s="1808">
        <f t="shared" si="4"/>
        <v>1</v>
      </c>
      <c r="AC42" s="2667">
        <f t="shared" si="5"/>
        <v>1</v>
      </c>
    </row>
    <row r="43" spans="1:29" ht="15">
      <c r="A43" s="471"/>
      <c r="B43" s="421" t="s">
        <v>2626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65"/>
      <c r="Q43" s="1807" t="str">
        <f t="shared" si="11"/>
        <v>内部装修</v>
      </c>
      <c r="R43" s="773" t="s">
        <v>17</v>
      </c>
      <c r="S43" s="774">
        <f t="shared" si="12"/>
        <v>100</v>
      </c>
      <c r="T43" s="773" t="s">
        <v>17</v>
      </c>
      <c r="U43" s="774">
        <f t="shared" si="13"/>
        <v>100</v>
      </c>
      <c r="V43" s="773" t="s">
        <v>17</v>
      </c>
      <c r="W43" s="774">
        <f t="shared" si="14"/>
        <v>100</v>
      </c>
      <c r="X43" s="1810"/>
      <c r="Y43" s="3267"/>
      <c r="Z43" s="1811" t="str">
        <f t="shared" si="15"/>
        <v>内部装修</v>
      </c>
      <c r="AA43" s="1808">
        <f t="shared" si="3"/>
        <v>1</v>
      </c>
      <c r="AB43" s="1808">
        <f t="shared" si="4"/>
        <v>1</v>
      </c>
      <c r="AC43" s="2667">
        <f t="shared" si="5"/>
        <v>1</v>
      </c>
    </row>
    <row r="44" spans="1:29" ht="15">
      <c r="A44" s="471"/>
      <c r="B44" s="421" t="s">
        <v>2534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65"/>
      <c r="Q44" s="1807" t="str">
        <f t="shared" si="11"/>
        <v>内部装修维护情况</v>
      </c>
      <c r="R44" s="773" t="s">
        <v>17</v>
      </c>
      <c r="S44" s="774">
        <f t="shared" si="12"/>
        <v>100</v>
      </c>
      <c r="T44" s="773" t="s">
        <v>17</v>
      </c>
      <c r="U44" s="774">
        <f t="shared" si="13"/>
        <v>100</v>
      </c>
      <c r="V44" s="773" t="s">
        <v>17</v>
      </c>
      <c r="W44" s="774">
        <f t="shared" si="14"/>
        <v>100</v>
      </c>
      <c r="X44" s="1810"/>
      <c r="Y44" s="3267"/>
      <c r="Z44" s="1811" t="str">
        <f t="shared" si="15"/>
        <v>内部装修维护情况</v>
      </c>
      <c r="AA44" s="1808">
        <f t="shared" si="3"/>
        <v>1</v>
      </c>
      <c r="AB44" s="1808">
        <f t="shared" si="4"/>
        <v>1</v>
      </c>
      <c r="AC44" s="2667">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65"/>
      <c r="Q45" s="1792">
        <f t="shared" si="11"/>
        <v>111</v>
      </c>
      <c r="R45" s="769" t="s">
        <v>17</v>
      </c>
      <c r="S45" s="770">
        <f t="shared" si="12"/>
        <v>100</v>
      </c>
      <c r="T45" s="769" t="s">
        <v>17</v>
      </c>
      <c r="U45" s="770">
        <f t="shared" si="13"/>
        <v>100</v>
      </c>
      <c r="V45" s="769" t="s">
        <v>17</v>
      </c>
      <c r="W45" s="770">
        <f t="shared" si="14"/>
        <v>100</v>
      </c>
      <c r="X45" s="771"/>
      <c r="Y45" s="3267"/>
      <c r="Z45" s="55">
        <f t="shared" si="15"/>
        <v>111</v>
      </c>
      <c r="AA45" s="772">
        <f t="shared" si="3"/>
        <v>1</v>
      </c>
      <c r="AB45" s="772">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65"/>
      <c r="Q46" s="1807">
        <f t="shared" si="11"/>
        <v>111</v>
      </c>
      <c r="R46" s="773" t="s">
        <v>17</v>
      </c>
      <c r="S46" s="774">
        <f t="shared" si="12"/>
        <v>100</v>
      </c>
      <c r="T46" s="773" t="s">
        <v>17</v>
      </c>
      <c r="U46" s="774">
        <f t="shared" si="13"/>
        <v>100</v>
      </c>
      <c r="V46" s="773" t="s">
        <v>17</v>
      </c>
      <c r="W46" s="774">
        <f t="shared" si="14"/>
        <v>100</v>
      </c>
      <c r="X46" s="1810"/>
      <c r="Y46" s="3267"/>
      <c r="Z46" s="1811">
        <f t="shared" si="15"/>
        <v>111</v>
      </c>
      <c r="AA46" s="1808">
        <f t="shared" si="3"/>
        <v>1</v>
      </c>
      <c r="AB46" s="1808">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66"/>
      <c r="Q47" s="1807">
        <f t="shared" si="11"/>
        <v>111</v>
      </c>
      <c r="R47" s="773" t="s">
        <v>17</v>
      </c>
      <c r="S47" s="774">
        <f t="shared" si="12"/>
        <v>100</v>
      </c>
      <c r="T47" s="773" t="s">
        <v>17</v>
      </c>
      <c r="U47" s="774">
        <f t="shared" si="13"/>
        <v>100</v>
      </c>
      <c r="V47" s="773" t="s">
        <v>17</v>
      </c>
      <c r="W47" s="774">
        <f t="shared" si="14"/>
        <v>100</v>
      </c>
      <c r="X47" s="1810"/>
      <c r="Y47" s="3268"/>
      <c r="Z47" s="1811">
        <f t="shared" si="15"/>
        <v>111</v>
      </c>
      <c r="AA47" s="1808">
        <f t="shared" si="3"/>
        <v>1</v>
      </c>
      <c r="AB47" s="1808">
        <f t="shared" si="4"/>
        <v>1</v>
      </c>
      <c r="AC47" s="2667">
        <f t="shared" si="5"/>
        <v>1</v>
      </c>
    </row>
    <row r="48" spans="1:29" ht="15">
      <c r="A48" s="478" t="s">
        <v>2535</v>
      </c>
      <c r="B48" s="479"/>
      <c r="C48" s="1404" t="s">
        <v>1</v>
      </c>
      <c r="D48" s="1405"/>
      <c r="E48" s="1406"/>
      <c r="F48" s="1407"/>
      <c r="G48" s="1408"/>
      <c r="H48" s="1409"/>
      <c r="I48" s="1406"/>
      <c r="J48" s="484"/>
      <c r="K48" s="782"/>
      <c r="L48" s="1140"/>
      <c r="M48" s="1128"/>
      <c r="N48" s="1128"/>
      <c r="O48" s="1128"/>
      <c r="P48" s="3242" t="str">
        <f>A48</f>
        <v>成交单价（元/平方米）</v>
      </c>
      <c r="Q48" s="3260"/>
      <c r="R48" s="3261">
        <f>E48</f>
        <v>0</v>
      </c>
      <c r="S48" s="3261"/>
      <c r="T48" s="3261">
        <f>G48</f>
        <v>0</v>
      </c>
      <c r="U48" s="3261"/>
      <c r="V48" s="3261">
        <f>I48</f>
        <v>0</v>
      </c>
      <c r="W48" s="3261"/>
      <c r="X48" s="445"/>
      <c r="Y48" s="780"/>
      <c r="Z48" s="445"/>
      <c r="AA48" s="445"/>
      <c r="AB48" s="445"/>
      <c r="AC48" s="629"/>
    </row>
    <row r="49" spans="1:29" ht="15.75" thickBot="1">
      <c r="A49" s="485" t="s">
        <v>2627</v>
      </c>
      <c r="B49" s="486"/>
      <c r="C49" s="1410" t="e">
        <f>R50</f>
        <v>#DIV/0!</v>
      </c>
      <c r="D49" s="1411"/>
      <c r="E49" s="1412" t="e">
        <f>R49</f>
        <v>#DIV/0!</v>
      </c>
      <c r="F49" s="1412"/>
      <c r="G49" s="1410" t="e">
        <f>T49</f>
        <v>#DIV/0!</v>
      </c>
      <c r="H49" s="1411"/>
      <c r="I49" s="1412" t="e">
        <f>V49</f>
        <v>#DIV/0!</v>
      </c>
      <c r="J49" s="488"/>
      <c r="K49" s="783"/>
      <c r="L49" s="1140"/>
      <c r="M49" s="1128"/>
      <c r="N49" s="1128"/>
      <c r="O49" s="1128"/>
      <c r="P49" s="3242"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5"/>
      <c r="Y49" s="445"/>
      <c r="Z49" s="445"/>
      <c r="AA49" s="445"/>
      <c r="AB49" s="445"/>
      <c r="AC49" s="629"/>
    </row>
    <row r="50" spans="1:29" ht="15.75" thickBot="1">
      <c r="A50" s="491" t="s">
        <v>2628</v>
      </c>
      <c r="B50" s="492"/>
      <c r="C50" s="1414" t="e">
        <f>R50</f>
        <v>#DIV/0!</v>
      </c>
      <c r="D50" s="1414"/>
      <c r="E50" s="1414"/>
      <c r="F50" s="1414"/>
      <c r="G50" s="1414"/>
      <c r="H50" s="1414"/>
      <c r="I50" s="1414"/>
      <c r="J50" s="493"/>
      <c r="K50" s="784"/>
      <c r="L50" s="1140"/>
      <c r="M50" s="1128"/>
      <c r="N50" s="1128"/>
      <c r="O50" s="1128"/>
      <c r="P50" s="3283" t="str">
        <f>A50</f>
        <v>估价对象XX用房的比较价值（楼面单价，元/平方米）</v>
      </c>
      <c r="Q50" s="3284"/>
      <c r="R50" s="3285" t="e">
        <f>IF(F1="售价",ROUND(AVERAGE(R49:V49),0),ROUND(AVERAGE(R49:V49),1))</f>
        <v>#DIV/0!</v>
      </c>
      <c r="S50" s="3285"/>
      <c r="T50" s="3285"/>
      <c r="U50" s="3285"/>
      <c r="V50" s="3285"/>
      <c r="W50" s="3285"/>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2629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2630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2631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2" t="s">
        <v>2632</v>
      </c>
      <c r="B58" s="758"/>
      <c r="C58" s="763"/>
      <c r="D58" s="763"/>
      <c r="E58" s="763"/>
      <c r="F58" s="764"/>
      <c r="G58" s="764"/>
      <c r="H58" s="763"/>
      <c r="I58" s="763"/>
      <c r="J58" s="763"/>
      <c r="K58" s="765"/>
      <c r="L58" s="1158"/>
      <c r="M58" s="1156"/>
      <c r="N58" s="1156"/>
      <c r="O58" s="1156"/>
      <c r="P58" s="2674"/>
      <c r="Q58" s="503"/>
    </row>
    <row r="59" spans="1:29" s="507" customFormat="1" ht="15">
      <c r="A59" s="504" t="s">
        <v>2506</v>
      </c>
      <c r="B59" s="505"/>
      <c r="C59" s="1571" t="str">
        <f>YEAR(C7)&amp;"-"&amp;MONTH(C7)</f>
        <v>2018-3</v>
      </c>
      <c r="D59" s="1572">
        <f>EDATE(C59,-1)</f>
        <v>43132</v>
      </c>
      <c r="E59" s="1572">
        <f>EDATE(D59,-1)</f>
        <v>43101</v>
      </c>
      <c r="F59" s="1572">
        <f t="shared" ref="F59:O59" si="16">EDATE(E59,-1)</f>
        <v>43070</v>
      </c>
      <c r="G59" s="1572">
        <f t="shared" si="16"/>
        <v>43040</v>
      </c>
      <c r="H59" s="1572">
        <f t="shared" si="16"/>
        <v>43009</v>
      </c>
      <c r="I59" s="1572">
        <f t="shared" si="16"/>
        <v>42979</v>
      </c>
      <c r="J59" s="1572">
        <f t="shared" si="16"/>
        <v>42948</v>
      </c>
      <c r="K59" s="1572">
        <f t="shared" si="16"/>
        <v>42917</v>
      </c>
      <c r="L59" s="1572">
        <f t="shared" si="16"/>
        <v>42887</v>
      </c>
      <c r="M59" s="1572">
        <f t="shared" si="16"/>
        <v>42856</v>
      </c>
      <c r="N59" s="1572">
        <f t="shared" si="16"/>
        <v>42826</v>
      </c>
      <c r="O59" s="1572">
        <f t="shared" si="16"/>
        <v>42795</v>
      </c>
      <c r="P59" s="1568"/>
    </row>
    <row r="60" spans="1:29" s="117" customFormat="1" ht="15">
      <c r="A60" s="508"/>
      <c r="B60" s="509"/>
      <c r="C60" s="1570">
        <v>100</v>
      </c>
      <c r="D60" s="511"/>
      <c r="E60" s="511"/>
      <c r="F60" s="511"/>
      <c r="G60" s="511"/>
      <c r="H60" s="511"/>
      <c r="I60" s="511"/>
      <c r="J60" s="511"/>
      <c r="K60" s="511"/>
      <c r="L60" s="511"/>
      <c r="M60" s="512"/>
      <c r="N60" s="511"/>
      <c r="O60" s="512"/>
      <c r="P60" s="2675"/>
    </row>
    <row r="61" spans="1:29" s="117" customFormat="1" ht="15.75" thickBot="1">
      <c r="A61" s="514" t="s">
        <v>2543</v>
      </c>
      <c r="B61" s="515"/>
      <c r="C61" s="516"/>
      <c r="D61" s="517"/>
      <c r="E61" s="517"/>
      <c r="F61" s="517"/>
      <c r="G61" s="517"/>
      <c r="H61" s="517"/>
      <c r="I61" s="517"/>
      <c r="J61" s="517"/>
      <c r="K61" s="517"/>
      <c r="L61" s="517"/>
      <c r="M61" s="518"/>
      <c r="N61" s="517"/>
      <c r="O61" s="518"/>
      <c r="P61" s="2675"/>
      <c r="Q61" s="503"/>
    </row>
    <row r="62" spans="1:29" s="117" customFormat="1" ht="15">
      <c r="A62" s="520" t="s">
        <v>2508</v>
      </c>
      <c r="B62" s="509"/>
      <c r="C62" s="521" t="s">
        <v>2610</v>
      </c>
      <c r="D62" s="522"/>
      <c r="E62" s="522"/>
      <c r="F62" s="522"/>
      <c r="G62" s="522"/>
      <c r="H62" s="522"/>
      <c r="I62" s="522"/>
      <c r="J62" s="522"/>
      <c r="K62" s="522"/>
      <c r="L62" s="523"/>
      <c r="M62" s="524"/>
      <c r="N62" s="1148"/>
      <c r="O62" s="1148"/>
      <c r="P62" s="2676"/>
      <c r="Q62" s="503"/>
    </row>
    <row r="63" spans="1:29" s="117"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2546</v>
      </c>
      <c r="B64" s="527" t="s">
        <v>2512</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2515</v>
      </c>
      <c r="C66" s="538" t="s">
        <v>2547</v>
      </c>
      <c r="D66" s="538" t="s">
        <v>2548</v>
      </c>
      <c r="E66" s="538" t="s">
        <v>2549</v>
      </c>
      <c r="F66" s="538" t="s">
        <v>2550</v>
      </c>
      <c r="G66" s="538" t="s">
        <v>2551</v>
      </c>
      <c r="H66" s="538" t="s">
        <v>2552</v>
      </c>
      <c r="I66" s="538" t="s">
        <v>2553</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2516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2517</v>
      </c>
      <c r="B77" s="527" t="s">
        <v>2655</v>
      </c>
      <c r="C77" s="572" t="s">
        <v>2555</v>
      </c>
      <c r="D77" s="572" t="s">
        <v>2556</v>
      </c>
      <c r="E77" s="572" t="s">
        <v>2557</v>
      </c>
      <c r="F77" s="572" t="s">
        <v>2558</v>
      </c>
      <c r="G77" s="572" t="s">
        <v>2559</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2560</v>
      </c>
      <c r="C79" s="577" t="s">
        <v>2555</v>
      </c>
      <c r="D79" s="577" t="s">
        <v>2556</v>
      </c>
      <c r="E79" s="577" t="s">
        <v>2557</v>
      </c>
      <c r="F79" s="577" t="s">
        <v>2558</v>
      </c>
      <c r="G79" s="577" t="s">
        <v>2559</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2561</v>
      </c>
      <c r="C81" s="577" t="s">
        <v>2555</v>
      </c>
      <c r="D81" s="577" t="s">
        <v>2556</v>
      </c>
      <c r="E81" s="577" t="s">
        <v>2557</v>
      </c>
      <c r="F81" s="577" t="s">
        <v>2558</v>
      </c>
      <c r="G81" s="577" t="s">
        <v>2559</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2647</v>
      </c>
      <c r="C83" s="659" t="s">
        <v>2633</v>
      </c>
      <c r="D83" s="659" t="s">
        <v>2634</v>
      </c>
      <c r="E83" s="659" t="s">
        <v>2635</v>
      </c>
      <c r="F83" s="659" t="s">
        <v>2636</v>
      </c>
      <c r="G83" s="659" t="s">
        <v>2637</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75" thickTop="1">
      <c r="A85" s="533"/>
      <c r="B85" s="537" t="s">
        <v>2656</v>
      </c>
      <c r="C85" s="577" t="s">
        <v>2555</v>
      </c>
      <c r="D85" s="577" t="s">
        <v>2556</v>
      </c>
      <c r="E85" s="577" t="s">
        <v>2557</v>
      </c>
      <c r="F85" s="577" t="s">
        <v>2558</v>
      </c>
      <c r="G85" s="577" t="s">
        <v>2559</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7" customFormat="1" ht="27.75" thickTop="1">
      <c r="A87" s="578"/>
      <c r="B87" s="537" t="s">
        <v>2657</v>
      </c>
      <c r="C87" s="553"/>
      <c r="D87" s="553"/>
      <c r="E87" s="553"/>
      <c r="F87" s="553"/>
      <c r="G87" s="553"/>
      <c r="H87" s="553"/>
      <c r="I87" s="553"/>
      <c r="J87" s="553"/>
      <c r="K87" s="553"/>
      <c r="L87" s="579"/>
      <c r="M87" s="580"/>
      <c r="N87" s="1148"/>
      <c r="O87" s="1148"/>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7"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2521</v>
      </c>
      <c r="B101" s="527" t="s">
        <v>2570</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2571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2572</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2574</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1961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2658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2575</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2576</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2659</v>
      </c>
      <c r="C119" s="582"/>
      <c r="D119" s="582"/>
      <c r="E119" s="582"/>
      <c r="F119" s="582"/>
      <c r="G119" s="582"/>
      <c r="H119" s="582"/>
      <c r="I119" s="582"/>
      <c r="J119" s="582"/>
      <c r="K119" s="582"/>
      <c r="L119" s="2682"/>
      <c r="M119" s="2683"/>
      <c r="N119" s="1150"/>
      <c r="O119" s="1150"/>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2642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2578</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2579</v>
      </c>
      <c r="C125" s="577" t="s">
        <v>2555</v>
      </c>
      <c r="D125" s="577" t="s">
        <v>2556</v>
      </c>
      <c r="E125" s="577" t="s">
        <v>2557</v>
      </c>
      <c r="F125" s="577" t="s">
        <v>2558</v>
      </c>
      <c r="G125" s="577" t="s">
        <v>2559</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北京银河万达置业有限公司：</v>
      </c>
    </row>
    <row r="4" spans="1:1" ht="36">
      <c r="A4" s="1945" t="str">
        <f>"受贵公司委托，我公司对"&amp;项目基本情况!S1&amp;"进行了预评估。"</f>
        <v>受贵公司委托，我公司对北京市石景山区石景山路乙18号院4号楼房地产抵押价值进行了预评估。</v>
      </c>
    </row>
    <row r="5" spans="1:1" ht="18.75">
      <c r="A5" s="1946" t="s">
        <v>1611</v>
      </c>
    </row>
    <row r="6" spans="1:1" ht="18.75">
      <c r="A6" s="1947" t="s">
        <v>1612</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估价对象为北京市石景山区石景山路乙18号院4号楼房地产，为所有。根据，估价对象（分摊）出让国有建设用地使用权面积为22271.54平方米，建筑面积为120487.72平方米。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1" spans="1:1" ht="76.5">
      <c r="A11" s="1948" t="s">
        <v>1615</v>
      </c>
    </row>
    <row r="12" spans="1:1" ht="18.75">
      <c r="A12" s="1946" t="s">
        <v>1616</v>
      </c>
    </row>
    <row r="13" spans="1:1" ht="38.25" customHeight="1">
      <c r="A13" s="1949" t="str">
        <f>IF(项目基本情况!B8="抵押",IF(项目基本情况!B5=项目基本情况!B6,定义!C51,定义!B51),定义!D51)</f>
        <v>为估价委托人在向渤海银行通州支行办理贷款手续过程中，确定房地产抵押贷款额度提供参考依据而评估房地产抵押价值。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2018年3月5日（评估专业人员实地查勘之日）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本次评估采用的主估价方法为成本法和收益法。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2660</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IF(C2="——",ROUND(C43*D3/10000,0),ROUND(C43*D3/10000,0)-D2)</f>
        <v>#DIV/0!</v>
      </c>
      <c r="C2" s="2579"/>
      <c r="D2" s="1121"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2287</v>
      </c>
      <c r="B3" s="608" t="e">
        <f ca="1">IF(C2="——",C43,ROUND(B2*10000/D3,0))</f>
        <v>#DIV/0!</v>
      </c>
      <c r="C3" s="399" t="s">
        <v>2602</v>
      </c>
      <c r="D3" s="398">
        <f>IF(D1="",'数据-汇总表'!E3,SUMIF('数据-汇总表'!$C19:$C33,D1,'数据-汇总表'!$E19:$E33))</f>
        <v>120487.72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28"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772" t="e">
        <f>D7/J7</f>
        <v>#DIV/0!</v>
      </c>
    </row>
    <row r="8" spans="1:29" s="117" customFormat="1" ht="15.75" thickBot="1">
      <c r="A8" s="407" t="s">
        <v>2508</v>
      </c>
      <c r="B8" s="408"/>
      <c r="C8" s="413" t="s">
        <v>2509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40" si="3">D8/F8</f>
        <v>#DIV/0!</v>
      </c>
      <c r="AB8" s="772" t="e">
        <f t="shared" ref="AB8:AB40" si="4">D8/H8</f>
        <v>#DIV/0!</v>
      </c>
      <c r="AC8" s="772" t="e">
        <f t="shared" ref="AC8:AC40" si="5">D8/J8</f>
        <v>#DIV/0!</v>
      </c>
    </row>
    <row r="9" spans="1:29" s="117" customFormat="1">
      <c r="A9" s="414" t="s">
        <v>2511</v>
      </c>
      <c r="B9" s="71" t="s">
        <v>2512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60"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60"/>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2516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60"/>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60"/>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60"/>
      <c r="Q14" s="1792">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15">
      <c r="A15" s="439" t="s">
        <v>2517</v>
      </c>
      <c r="B15" s="69" t="s">
        <v>2661</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62" t="s">
        <v>2518</v>
      </c>
      <c r="Q15" s="1807" t="str">
        <f t="shared" si="6"/>
        <v>产业集聚程度</v>
      </c>
      <c r="R15" s="773" t="s">
        <v>17</v>
      </c>
      <c r="S15" s="774">
        <f t="shared" si="0"/>
        <v>100</v>
      </c>
      <c r="T15" s="773" t="s">
        <v>17</v>
      </c>
      <c r="U15" s="774">
        <f t="shared" si="1"/>
        <v>100</v>
      </c>
      <c r="V15" s="773" t="s">
        <v>17</v>
      </c>
      <c r="W15" s="774">
        <f t="shared" si="2"/>
        <v>100</v>
      </c>
      <c r="X15" s="1810"/>
      <c r="Y15" s="3262" t="s">
        <v>2518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63"/>
      <c r="Q16" s="1807"/>
      <c r="R16" s="773"/>
      <c r="S16" s="774"/>
      <c r="T16" s="773"/>
      <c r="U16" s="774"/>
      <c r="V16" s="773"/>
      <c r="W16" s="774"/>
      <c r="X16" s="1810"/>
      <c r="Y16" s="3263"/>
      <c r="Z16" s="1811"/>
      <c r="AA16" s="1808">
        <v>1</v>
      </c>
      <c r="AB16" s="1808">
        <v>1</v>
      </c>
      <c r="AC16" s="1808">
        <v>1</v>
      </c>
    </row>
    <row r="17" spans="1:29" ht="15">
      <c r="A17" s="427"/>
      <c r="B17" s="450" t="s">
        <v>2057</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63"/>
      <c r="Q17" s="1807" t="str">
        <f>B17</f>
        <v>交通便捷度</v>
      </c>
      <c r="R17" s="773" t="s">
        <v>17</v>
      </c>
      <c r="S17" s="774">
        <f>F17</f>
        <v>100</v>
      </c>
      <c r="T17" s="773" t="s">
        <v>17</v>
      </c>
      <c r="U17" s="774">
        <f>H17</f>
        <v>100</v>
      </c>
      <c r="V17" s="773" t="s">
        <v>17</v>
      </c>
      <c r="W17" s="774">
        <f>J17</f>
        <v>100</v>
      </c>
      <c r="X17" s="1810"/>
      <c r="Y17" s="3263"/>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263"/>
      <c r="Q18" s="1807"/>
      <c r="R18" s="773"/>
      <c r="S18" s="774"/>
      <c r="T18" s="773"/>
      <c r="U18" s="774"/>
      <c r="V18" s="773"/>
      <c r="W18" s="774"/>
      <c r="X18" s="1810"/>
      <c r="Y18" s="3263"/>
      <c r="Z18" s="1811"/>
      <c r="AA18" s="1808">
        <v>1</v>
      </c>
      <c r="AB18" s="1808">
        <v>1</v>
      </c>
      <c r="AC18" s="1808">
        <v>1</v>
      </c>
    </row>
    <row r="19" spans="1:29" ht="15">
      <c r="A19" s="427"/>
      <c r="B19" s="450" t="s">
        <v>2646</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63"/>
      <c r="Q19" s="1807" t="str">
        <f>B19</f>
        <v>公共配套设施</v>
      </c>
      <c r="R19" s="773" t="s">
        <v>17</v>
      </c>
      <c r="S19" s="774">
        <f>F19</f>
        <v>100</v>
      </c>
      <c r="T19" s="773" t="s">
        <v>17</v>
      </c>
      <c r="U19" s="774">
        <f>H19</f>
        <v>100</v>
      </c>
      <c r="V19" s="773" t="s">
        <v>17</v>
      </c>
      <c r="W19" s="774">
        <f>J19</f>
        <v>100</v>
      </c>
      <c r="X19" s="1810"/>
      <c r="Y19" s="3263"/>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263"/>
      <c r="Q20" s="1807"/>
      <c r="R20" s="773"/>
      <c r="S20" s="774"/>
      <c r="T20" s="773"/>
      <c r="U20" s="774"/>
      <c r="V20" s="773"/>
      <c r="W20" s="774"/>
      <c r="X20" s="1810"/>
      <c r="Y20" s="3263"/>
      <c r="Z20" s="1811"/>
      <c r="AA20" s="1808">
        <v>1</v>
      </c>
      <c r="AB20" s="1808">
        <v>1</v>
      </c>
      <c r="AC20" s="1808">
        <v>1</v>
      </c>
    </row>
    <row r="21" spans="1:29" ht="15">
      <c r="A21" s="427"/>
      <c r="B21" s="1381" t="s">
        <v>2647</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63"/>
      <c r="Q21" s="1807" t="str">
        <f>B21</f>
        <v>基础设施水平</v>
      </c>
      <c r="R21" s="773" t="s">
        <v>17</v>
      </c>
      <c r="S21" s="774">
        <f>F21</f>
        <v>100</v>
      </c>
      <c r="T21" s="773" t="s">
        <v>17</v>
      </c>
      <c r="U21" s="774">
        <f>H21</f>
        <v>100</v>
      </c>
      <c r="V21" s="773" t="s">
        <v>17</v>
      </c>
      <c r="W21" s="774">
        <f>J21</f>
        <v>100</v>
      </c>
      <c r="X21" s="1810"/>
      <c r="Y21" s="3263"/>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263"/>
      <c r="Q22" s="1807"/>
      <c r="R22" s="773"/>
      <c r="S22" s="774"/>
      <c r="T22" s="773"/>
      <c r="U22" s="774"/>
      <c r="V22" s="773"/>
      <c r="W22" s="774"/>
      <c r="X22" s="1810"/>
      <c r="Y22" s="3263"/>
      <c r="Z22" s="1811"/>
      <c r="AA22" s="1808">
        <v>1</v>
      </c>
      <c r="AB22" s="1808">
        <v>1</v>
      </c>
      <c r="AC22" s="1808">
        <v>1</v>
      </c>
    </row>
    <row r="23" spans="1:29" ht="15">
      <c r="A23" s="427"/>
      <c r="B23" s="450" t="s">
        <v>2648</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63"/>
      <c r="Q23" s="1807" t="str">
        <f>B23</f>
        <v>环境质量</v>
      </c>
      <c r="R23" s="773" t="s">
        <v>17</v>
      </c>
      <c r="S23" s="774">
        <f>F23</f>
        <v>100</v>
      </c>
      <c r="T23" s="773" t="s">
        <v>17</v>
      </c>
      <c r="U23" s="774">
        <f>H23</f>
        <v>100</v>
      </c>
      <c r="V23" s="773" t="s">
        <v>17</v>
      </c>
      <c r="W23" s="774">
        <f>J23</f>
        <v>100</v>
      </c>
      <c r="X23" s="1810"/>
      <c r="Y23" s="3263"/>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263"/>
      <c r="Q24" s="1807"/>
      <c r="R24" s="773"/>
      <c r="S24" s="774"/>
      <c r="T24" s="773"/>
      <c r="U24" s="774"/>
      <c r="V24" s="773"/>
      <c r="W24" s="774"/>
      <c r="X24" s="1810"/>
      <c r="Y24" s="3263"/>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63"/>
      <c r="Q25" s="1807">
        <f>B25</f>
        <v>111</v>
      </c>
      <c r="R25" s="773" t="s">
        <v>17</v>
      </c>
      <c r="S25" s="774">
        <f>F25</f>
        <v>100</v>
      </c>
      <c r="T25" s="773" t="s">
        <v>17</v>
      </c>
      <c r="U25" s="774">
        <f>H25</f>
        <v>100</v>
      </c>
      <c r="V25" s="773" t="s">
        <v>17</v>
      </c>
      <c r="W25" s="774">
        <f>J25</f>
        <v>100</v>
      </c>
      <c r="X25" s="1810"/>
      <c r="Y25" s="3263"/>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63"/>
      <c r="Q26" s="1807">
        <f t="shared" ref="Q26:Q40" si="11">B26</f>
        <v>111</v>
      </c>
      <c r="R26" s="773" t="s">
        <v>17</v>
      </c>
      <c r="S26" s="774">
        <f>F26</f>
        <v>100</v>
      </c>
      <c r="T26" s="773" t="s">
        <v>17</v>
      </c>
      <c r="U26" s="774">
        <f>H26</f>
        <v>100</v>
      </c>
      <c r="V26" s="773" t="s">
        <v>17</v>
      </c>
      <c r="W26" s="774">
        <f>J26</f>
        <v>100</v>
      </c>
      <c r="X26" s="1810"/>
      <c r="Y26" s="3263"/>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63"/>
      <c r="Q27" s="1792">
        <f t="shared" si="11"/>
        <v>111</v>
      </c>
      <c r="R27" s="769" t="s">
        <v>17</v>
      </c>
      <c r="S27" s="770">
        <f>F27</f>
        <v>100</v>
      </c>
      <c r="T27" s="769" t="s">
        <v>17</v>
      </c>
      <c r="U27" s="770">
        <f>H27</f>
        <v>100</v>
      </c>
      <c r="V27" s="769" t="s">
        <v>17</v>
      </c>
      <c r="W27" s="770">
        <f>J27</f>
        <v>100</v>
      </c>
      <c r="X27" s="771"/>
      <c r="Y27" s="3263"/>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63"/>
      <c r="Q28" s="1807">
        <f t="shared" si="11"/>
        <v>111</v>
      </c>
      <c r="R28" s="773" t="s">
        <v>17</v>
      </c>
      <c r="S28" s="774">
        <f t="shared" ref="S28:S40" si="12">F28</f>
        <v>100</v>
      </c>
      <c r="T28" s="773" t="s">
        <v>17</v>
      </c>
      <c r="U28" s="774">
        <f t="shared" ref="U28:U40" si="13">H28</f>
        <v>100</v>
      </c>
      <c r="V28" s="773" t="s">
        <v>17</v>
      </c>
      <c r="W28" s="774">
        <f t="shared" ref="W28:W40" si="14">J28</f>
        <v>100</v>
      </c>
      <c r="X28" s="1810"/>
      <c r="Y28" s="3263"/>
      <c r="Z28" s="1811">
        <f t="shared" ref="Z28:Z40" si="15">Q28</f>
        <v>111</v>
      </c>
      <c r="AA28" s="1808">
        <f t="shared" si="3"/>
        <v>1</v>
      </c>
      <c r="AB28" s="1808">
        <f t="shared" si="4"/>
        <v>1</v>
      </c>
      <c r="AC28" s="1808">
        <f t="shared" si="5"/>
        <v>1</v>
      </c>
    </row>
    <row r="29" spans="1:29" ht="15">
      <c r="A29" s="465" t="s">
        <v>2521</v>
      </c>
      <c r="B29" s="71" t="s">
        <v>2651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286" t="s">
        <v>2523</v>
      </c>
      <c r="Q29" s="1807" t="str">
        <f t="shared" si="11"/>
        <v>建筑类型</v>
      </c>
      <c r="R29" s="773" t="s">
        <v>17</v>
      </c>
      <c r="S29" s="774">
        <f t="shared" si="12"/>
        <v>100</v>
      </c>
      <c r="T29" s="773" t="s">
        <v>17</v>
      </c>
      <c r="U29" s="774">
        <f t="shared" si="13"/>
        <v>100</v>
      </c>
      <c r="V29" s="773" t="s">
        <v>17</v>
      </c>
      <c r="W29" s="774">
        <f t="shared" si="14"/>
        <v>100</v>
      </c>
      <c r="X29" s="1810"/>
      <c r="Y29" s="3267" t="s">
        <v>2523</v>
      </c>
      <c r="Z29" s="1811" t="str">
        <f t="shared" si="15"/>
        <v>建筑类型</v>
      </c>
      <c r="AA29" s="1808">
        <f t="shared" si="3"/>
        <v>1</v>
      </c>
      <c r="AB29" s="1808">
        <f t="shared" si="4"/>
        <v>1</v>
      </c>
      <c r="AC29" s="1808">
        <f t="shared" si="5"/>
        <v>1</v>
      </c>
    </row>
    <row r="30" spans="1:29" s="470" customFormat="1" ht="15">
      <c r="A30" s="467"/>
      <c r="B30" s="421" t="s">
        <v>2524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67"/>
      <c r="Q30" s="775" t="str">
        <f t="shared" si="11"/>
        <v>项目建筑规模</v>
      </c>
      <c r="R30" s="776" t="s">
        <v>17</v>
      </c>
      <c r="S30" s="777" t="e">
        <f t="shared" si="12"/>
        <v>#N/A</v>
      </c>
      <c r="T30" s="776" t="s">
        <v>17</v>
      </c>
      <c r="U30" s="777" t="e">
        <f t="shared" si="13"/>
        <v>#N/A</v>
      </c>
      <c r="V30" s="776" t="s">
        <v>17</v>
      </c>
      <c r="W30" s="777" t="e">
        <f t="shared" si="14"/>
        <v>#N/A</v>
      </c>
      <c r="X30" s="778"/>
      <c r="Y30" s="3267"/>
      <c r="Z30" s="779" t="str">
        <f t="shared" si="15"/>
        <v>项目建筑规模</v>
      </c>
      <c r="AA30" s="1808" t="e">
        <f t="shared" si="3"/>
        <v>#N/A</v>
      </c>
      <c r="AB30" s="1808" t="e">
        <f t="shared" si="4"/>
        <v>#N/A</v>
      </c>
      <c r="AC30" s="1808" t="e">
        <f t="shared" si="5"/>
        <v>#N/A</v>
      </c>
    </row>
    <row r="31" spans="1:29" ht="15">
      <c r="A31" s="471"/>
      <c r="B31" s="421" t="s">
        <v>2525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67"/>
      <c r="Q31" s="1807" t="str">
        <f t="shared" si="11"/>
        <v>建筑结构</v>
      </c>
      <c r="R31" s="773" t="s">
        <v>17</v>
      </c>
      <c r="S31" s="774">
        <f t="shared" si="12"/>
        <v>100</v>
      </c>
      <c r="T31" s="773" t="s">
        <v>17</v>
      </c>
      <c r="U31" s="774">
        <f t="shared" si="13"/>
        <v>100</v>
      </c>
      <c r="V31" s="773" t="s">
        <v>17</v>
      </c>
      <c r="W31" s="774">
        <f t="shared" si="14"/>
        <v>100</v>
      </c>
      <c r="X31" s="1810"/>
      <c r="Y31" s="3267"/>
      <c r="Z31" s="1811" t="str">
        <f t="shared" si="15"/>
        <v>建筑结构</v>
      </c>
      <c r="AA31" s="1808">
        <f t="shared" si="3"/>
        <v>1</v>
      </c>
      <c r="AB31" s="1808">
        <f t="shared" si="4"/>
        <v>1</v>
      </c>
      <c r="AC31" s="1808">
        <f t="shared" si="5"/>
        <v>1</v>
      </c>
    </row>
    <row r="32" spans="1:29" ht="15">
      <c r="A32" s="471"/>
      <c r="B32" s="421" t="s">
        <v>2619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67"/>
      <c r="Q32" s="1807" t="str">
        <f t="shared" si="11"/>
        <v>公共部分装修</v>
      </c>
      <c r="R32" s="773" t="s">
        <v>17</v>
      </c>
      <c r="S32" s="774">
        <f t="shared" si="12"/>
        <v>100</v>
      </c>
      <c r="T32" s="773" t="s">
        <v>17</v>
      </c>
      <c r="U32" s="774">
        <f t="shared" si="13"/>
        <v>100</v>
      </c>
      <c r="V32" s="773" t="s">
        <v>17</v>
      </c>
      <c r="W32" s="774">
        <f t="shared" si="14"/>
        <v>100</v>
      </c>
      <c r="X32" s="1810"/>
      <c r="Y32" s="3267"/>
      <c r="Z32" s="1811" t="str">
        <f t="shared" si="15"/>
        <v>公共部分装修</v>
      </c>
      <c r="AA32" s="1808">
        <f t="shared" si="3"/>
        <v>1</v>
      </c>
      <c r="AB32" s="1808">
        <f t="shared" si="4"/>
        <v>1</v>
      </c>
      <c r="AC32" s="1808">
        <f t="shared" si="5"/>
        <v>1</v>
      </c>
    </row>
    <row r="33" spans="1:29" ht="15">
      <c r="A33" s="471"/>
      <c r="B33" s="421" t="s">
        <v>2620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67"/>
      <c r="Q33" s="1807" t="str">
        <f t="shared" si="11"/>
        <v>成新度</v>
      </c>
      <c r="R33" s="773" t="s">
        <v>17</v>
      </c>
      <c r="S33" s="774" t="e">
        <f t="shared" si="12"/>
        <v>#N/A</v>
      </c>
      <c r="T33" s="773" t="s">
        <v>17</v>
      </c>
      <c r="U33" s="774" t="e">
        <f t="shared" si="13"/>
        <v>#N/A</v>
      </c>
      <c r="V33" s="773" t="s">
        <v>17</v>
      </c>
      <c r="W33" s="774" t="e">
        <f t="shared" si="14"/>
        <v>#N/A</v>
      </c>
      <c r="X33" s="1810"/>
      <c r="Y33" s="3267"/>
      <c r="Z33" s="1811" t="str">
        <f t="shared" si="15"/>
        <v>成新度</v>
      </c>
      <c r="AA33" s="1808" t="e">
        <f t="shared" si="3"/>
        <v>#N/A</v>
      </c>
      <c r="AB33" s="1808" t="e">
        <f t="shared" si="4"/>
        <v>#N/A</v>
      </c>
      <c r="AC33" s="1808" t="e">
        <f t="shared" si="5"/>
        <v>#N/A</v>
      </c>
    </row>
    <row r="34" spans="1:29" s="117" customFormat="1" ht="15">
      <c r="A34" s="472"/>
      <c r="B34" s="421" t="s">
        <v>2653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67"/>
      <c r="Q34" s="1792" t="str">
        <f t="shared" si="11"/>
        <v>物业管理</v>
      </c>
      <c r="R34" s="769" t="s">
        <v>17</v>
      </c>
      <c r="S34" s="770">
        <f t="shared" si="12"/>
        <v>100</v>
      </c>
      <c r="T34" s="769" t="s">
        <v>17</v>
      </c>
      <c r="U34" s="770">
        <f t="shared" si="13"/>
        <v>100</v>
      </c>
      <c r="V34" s="769" t="s">
        <v>17</v>
      </c>
      <c r="W34" s="770">
        <f t="shared" si="14"/>
        <v>100</v>
      </c>
      <c r="X34" s="771"/>
      <c r="Y34" s="3267"/>
      <c r="Z34" s="55" t="str">
        <f t="shared" si="15"/>
        <v>物业管理</v>
      </c>
      <c r="AA34" s="772">
        <f t="shared" si="3"/>
        <v>1</v>
      </c>
      <c r="AB34" s="772">
        <f t="shared" si="4"/>
        <v>1</v>
      </c>
      <c r="AC34" s="772">
        <f t="shared" si="5"/>
        <v>1</v>
      </c>
    </row>
    <row r="35" spans="1:29" ht="15">
      <c r="A35" s="471"/>
      <c r="B35" s="421" t="s">
        <v>2621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67" t="s">
        <v>2523</v>
      </c>
      <c r="Q35" s="1807" t="str">
        <f t="shared" si="11"/>
        <v>市政基础设施</v>
      </c>
      <c r="R35" s="773" t="s">
        <v>17</v>
      </c>
      <c r="S35" s="774">
        <f t="shared" si="12"/>
        <v>100</v>
      </c>
      <c r="T35" s="773" t="s">
        <v>17</v>
      </c>
      <c r="U35" s="774">
        <f t="shared" si="13"/>
        <v>100</v>
      </c>
      <c r="V35" s="773" t="s">
        <v>17</v>
      </c>
      <c r="W35" s="774">
        <f t="shared" si="14"/>
        <v>100</v>
      </c>
      <c r="X35" s="1810"/>
      <c r="Y35" s="3267" t="s">
        <v>2523</v>
      </c>
      <c r="Z35" s="1811" t="str">
        <f t="shared" si="15"/>
        <v>市政基础设施</v>
      </c>
      <c r="AA35" s="1808">
        <f t="shared" si="3"/>
        <v>1</v>
      </c>
      <c r="AB35" s="1808">
        <f t="shared" si="4"/>
        <v>1</v>
      </c>
      <c r="AC35" s="1808">
        <f t="shared" si="5"/>
        <v>1</v>
      </c>
    </row>
    <row r="36" spans="1:29" ht="15">
      <c r="A36" s="471"/>
      <c r="B36" s="421" t="s">
        <v>2626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67"/>
      <c r="Q36" s="1807" t="str">
        <f t="shared" si="11"/>
        <v>内部装修</v>
      </c>
      <c r="R36" s="773" t="s">
        <v>17</v>
      </c>
      <c r="S36" s="774">
        <f t="shared" si="12"/>
        <v>100</v>
      </c>
      <c r="T36" s="773" t="s">
        <v>17</v>
      </c>
      <c r="U36" s="774">
        <f t="shared" si="13"/>
        <v>100</v>
      </c>
      <c r="V36" s="773" t="s">
        <v>17</v>
      </c>
      <c r="W36" s="774">
        <f t="shared" si="14"/>
        <v>100</v>
      </c>
      <c r="X36" s="1810"/>
      <c r="Y36" s="3267"/>
      <c r="Z36" s="1811" t="str">
        <f t="shared" si="15"/>
        <v>内部装修</v>
      </c>
      <c r="AA36" s="1808">
        <f t="shared" si="3"/>
        <v>1</v>
      </c>
      <c r="AB36" s="1808">
        <f t="shared" si="4"/>
        <v>1</v>
      </c>
      <c r="AC36" s="1808">
        <f t="shared" si="5"/>
        <v>1</v>
      </c>
    </row>
    <row r="37" spans="1:29" ht="15">
      <c r="A37" s="471"/>
      <c r="B37" s="421" t="s">
        <v>2662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67"/>
      <c r="Q37" s="1807" t="str">
        <f t="shared" si="11"/>
        <v>内部装修状况</v>
      </c>
      <c r="R37" s="773" t="s">
        <v>17</v>
      </c>
      <c r="S37" s="774">
        <f t="shared" si="12"/>
        <v>100</v>
      </c>
      <c r="T37" s="773" t="s">
        <v>17</v>
      </c>
      <c r="U37" s="774">
        <f t="shared" si="13"/>
        <v>100</v>
      </c>
      <c r="V37" s="773" t="s">
        <v>17</v>
      </c>
      <c r="W37" s="774">
        <f t="shared" si="14"/>
        <v>100</v>
      </c>
      <c r="X37" s="1810"/>
      <c r="Y37" s="3267"/>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67"/>
      <c r="Q38" s="775">
        <f t="shared" si="11"/>
        <v>111</v>
      </c>
      <c r="R38" s="776" t="s">
        <v>17</v>
      </c>
      <c r="S38" s="777">
        <f t="shared" si="12"/>
        <v>100</v>
      </c>
      <c r="T38" s="776" t="s">
        <v>17</v>
      </c>
      <c r="U38" s="777">
        <f t="shared" si="13"/>
        <v>100</v>
      </c>
      <c r="V38" s="776" t="s">
        <v>17</v>
      </c>
      <c r="W38" s="777">
        <f t="shared" si="14"/>
        <v>100</v>
      </c>
      <c r="X38" s="778"/>
      <c r="Y38" s="3267"/>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67"/>
      <c r="Q39" s="1807">
        <f t="shared" si="11"/>
        <v>111</v>
      </c>
      <c r="R39" s="773" t="s">
        <v>17</v>
      </c>
      <c r="S39" s="774">
        <f t="shared" si="12"/>
        <v>100</v>
      </c>
      <c r="T39" s="773" t="s">
        <v>17</v>
      </c>
      <c r="U39" s="774">
        <f t="shared" si="13"/>
        <v>100</v>
      </c>
      <c r="V39" s="773" t="s">
        <v>17</v>
      </c>
      <c r="W39" s="774">
        <f t="shared" si="14"/>
        <v>100</v>
      </c>
      <c r="X39" s="1810"/>
      <c r="Y39" s="3267"/>
      <c r="Z39" s="1811">
        <f t="shared" si="15"/>
        <v>111</v>
      </c>
      <c r="AA39" s="1808">
        <f t="shared" si="3"/>
        <v>1</v>
      </c>
      <c r="AB39" s="1808">
        <f t="shared" si="4"/>
        <v>1</v>
      </c>
      <c r="AC39" s="1808">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68"/>
      <c r="Q40" s="1807">
        <f t="shared" si="11"/>
        <v>111</v>
      </c>
      <c r="R40" s="773" t="s">
        <v>17</v>
      </c>
      <c r="S40" s="774">
        <f t="shared" si="12"/>
        <v>100</v>
      </c>
      <c r="T40" s="773" t="s">
        <v>17</v>
      </c>
      <c r="U40" s="774">
        <f t="shared" si="13"/>
        <v>100</v>
      </c>
      <c r="V40" s="773" t="s">
        <v>17</v>
      </c>
      <c r="W40" s="774">
        <f t="shared" si="14"/>
        <v>100</v>
      </c>
      <c r="X40" s="1810"/>
      <c r="Y40" s="3268"/>
      <c r="Z40" s="1811">
        <f t="shared" si="15"/>
        <v>111</v>
      </c>
      <c r="AA40" s="1808">
        <f t="shared" si="3"/>
        <v>1</v>
      </c>
      <c r="AB40" s="1808">
        <f t="shared" si="4"/>
        <v>1</v>
      </c>
      <c r="AC40" s="1808">
        <f t="shared" si="5"/>
        <v>1</v>
      </c>
    </row>
    <row r="41" spans="1:29" ht="15">
      <c r="A41" s="478" t="s">
        <v>2535</v>
      </c>
      <c r="B41" s="479"/>
      <c r="C41" s="1404" t="s">
        <v>1</v>
      </c>
      <c r="D41" s="1405"/>
      <c r="E41" s="1406"/>
      <c r="F41" s="1407"/>
      <c r="G41" s="1408"/>
      <c r="H41" s="1409"/>
      <c r="I41" s="1406"/>
      <c r="J41" s="1409"/>
      <c r="K41" s="782"/>
      <c r="L41" s="1140"/>
      <c r="M41" s="1141"/>
      <c r="N41" s="1128"/>
      <c r="O41" s="1141"/>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75" thickBot="1">
      <c r="A42" s="485" t="s">
        <v>2627</v>
      </c>
      <c r="B42" s="486"/>
      <c r="C42" s="1410" t="e">
        <f>R43</f>
        <v>#DIV/0!</v>
      </c>
      <c r="D42" s="1411"/>
      <c r="E42" s="1412" t="e">
        <f>R42</f>
        <v>#DIV/0!</v>
      </c>
      <c r="F42" s="1412"/>
      <c r="G42" s="1410" t="e">
        <f>T42</f>
        <v>#DIV/0!</v>
      </c>
      <c r="H42" s="1411"/>
      <c r="I42" s="1412" t="e">
        <f>V42</f>
        <v>#DIV/0!</v>
      </c>
      <c r="J42" s="1411"/>
      <c r="K42" s="783"/>
      <c r="L42" s="1140"/>
      <c r="M42" s="1141"/>
      <c r="N42" s="1128"/>
      <c r="O42" s="1141"/>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75" thickBot="1">
      <c r="A43" s="491" t="s">
        <v>2628</v>
      </c>
      <c r="B43" s="492"/>
      <c r="C43" s="1414" t="e">
        <f>R43</f>
        <v>#DIV/0!</v>
      </c>
      <c r="D43" s="1414"/>
      <c r="E43" s="1414"/>
      <c r="F43" s="1414"/>
      <c r="G43" s="1414"/>
      <c r="H43" s="1414"/>
      <c r="I43" s="1414"/>
      <c r="J43" s="1414"/>
      <c r="K43" s="784"/>
      <c r="L43" s="1140"/>
      <c r="M43" s="1141"/>
      <c r="N43" s="1141"/>
      <c r="O43" s="1141"/>
      <c r="P43" s="3257" t="str">
        <f>A43</f>
        <v>估价对象XX用房的比较价值（楼面单价，元/平方米）</v>
      </c>
      <c r="Q43" s="3258"/>
      <c r="R43" s="3259" t="e">
        <f>IF(F1="售价",ROUND(AVERAGE(R42:V42),0),ROUND(AVERAGE(R42:V42),1))</f>
        <v>#DIV/0!</v>
      </c>
      <c r="S43" s="3259"/>
      <c r="T43" s="3259"/>
      <c r="U43" s="3259"/>
      <c r="V43" s="3259"/>
      <c r="W43" s="3259"/>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2632</v>
      </c>
      <c r="B51" s="758"/>
      <c r="C51" s="763"/>
      <c r="D51" s="763"/>
      <c r="E51" s="763"/>
      <c r="F51" s="764"/>
      <c r="G51" s="764"/>
      <c r="H51" s="763"/>
      <c r="I51" s="763"/>
      <c r="J51" s="763"/>
      <c r="K51" s="1157"/>
      <c r="L51" s="1158"/>
      <c r="M51" s="1156"/>
      <c r="N51" s="1156"/>
      <c r="O51" s="1156"/>
      <c r="P51" s="502"/>
      <c r="Q51" s="503"/>
    </row>
    <row r="52" spans="1:17" s="507" customFormat="1" ht="15">
      <c r="A52" s="504" t="s">
        <v>2506</v>
      </c>
      <c r="B52" s="505"/>
      <c r="C52" s="1571" t="str">
        <f>YEAR(C7)&amp;"-"&amp;MONTH(C7)</f>
        <v>2018-3</v>
      </c>
      <c r="D52" s="1572">
        <f>EDATE(C52,-1)</f>
        <v>43132</v>
      </c>
      <c r="E52" s="1572">
        <f t="shared" ref="E52:O52" si="16">EDATE(D52,-1)</f>
        <v>43101</v>
      </c>
      <c r="F52" s="1572">
        <f t="shared" si="16"/>
        <v>43070</v>
      </c>
      <c r="G52" s="1572">
        <f t="shared" si="16"/>
        <v>43040</v>
      </c>
      <c r="H52" s="1572">
        <f t="shared" si="16"/>
        <v>43009</v>
      </c>
      <c r="I52" s="1572">
        <f t="shared" si="16"/>
        <v>42979</v>
      </c>
      <c r="J52" s="1572">
        <f t="shared" si="16"/>
        <v>42948</v>
      </c>
      <c r="K52" s="1572">
        <f t="shared" si="16"/>
        <v>42917</v>
      </c>
      <c r="L52" s="1572">
        <f t="shared" si="16"/>
        <v>42887</v>
      </c>
      <c r="M52" s="1572">
        <f t="shared" si="16"/>
        <v>42856</v>
      </c>
      <c r="N52" s="1572">
        <f t="shared" si="16"/>
        <v>42826</v>
      </c>
      <c r="O52" s="1572">
        <f t="shared" si="16"/>
        <v>42795</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2543</v>
      </c>
      <c r="B54" s="515"/>
      <c r="C54" s="516"/>
      <c r="D54" s="517"/>
      <c r="E54" s="517"/>
      <c r="F54" s="517"/>
      <c r="G54" s="517"/>
      <c r="H54" s="517"/>
      <c r="I54" s="517"/>
      <c r="J54" s="517"/>
      <c r="K54" s="517"/>
      <c r="L54" s="517"/>
      <c r="M54" s="518"/>
      <c r="N54" s="517"/>
      <c r="O54" s="519"/>
      <c r="P54" s="503"/>
      <c r="Q54" s="503"/>
    </row>
    <row r="55" spans="1:17" s="117" customFormat="1" ht="15">
      <c r="A55" s="520" t="s">
        <v>2508</v>
      </c>
      <c r="B55" s="509"/>
      <c r="C55" s="521" t="s">
        <v>2610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2546</v>
      </c>
      <c r="B57" s="527" t="s">
        <v>2512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2515</v>
      </c>
      <c r="C59" s="538" t="s">
        <v>2547</v>
      </c>
      <c r="D59" s="538" t="s">
        <v>2548</v>
      </c>
      <c r="E59" s="538" t="s">
        <v>2549</v>
      </c>
      <c r="F59" s="538" t="s">
        <v>2550</v>
      </c>
      <c r="G59" s="538" t="s">
        <v>2551</v>
      </c>
      <c r="H59" s="538" t="s">
        <v>2552</v>
      </c>
      <c r="I59" s="538" t="s">
        <v>2553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2516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2517</v>
      </c>
      <c r="B70" s="527" t="s">
        <v>2663</v>
      </c>
      <c r="C70" s="572" t="s">
        <v>2555</v>
      </c>
      <c r="D70" s="572" t="s">
        <v>2556</v>
      </c>
      <c r="E70" s="572" t="s">
        <v>2557</v>
      </c>
      <c r="F70" s="572" t="s">
        <v>2558</v>
      </c>
      <c r="G70" s="572" t="s">
        <v>2559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2560</v>
      </c>
      <c r="C72" s="577" t="s">
        <v>2555</v>
      </c>
      <c r="D72" s="577" t="s">
        <v>2556</v>
      </c>
      <c r="E72" s="577" t="s">
        <v>2557</v>
      </c>
      <c r="F72" s="577" t="s">
        <v>2558</v>
      </c>
      <c r="G72" s="577" t="s">
        <v>2559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2561</v>
      </c>
      <c r="C74" s="577" t="s">
        <v>2555</v>
      </c>
      <c r="D74" s="577" t="s">
        <v>2556</v>
      </c>
      <c r="E74" s="577" t="s">
        <v>2557</v>
      </c>
      <c r="F74" s="577" t="s">
        <v>2558</v>
      </c>
      <c r="G74" s="577" t="s">
        <v>2559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2647</v>
      </c>
      <c r="C76" s="659" t="s">
        <v>2633</v>
      </c>
      <c r="D76" s="659" t="s">
        <v>2634</v>
      </c>
      <c r="E76" s="659" t="s">
        <v>2635</v>
      </c>
      <c r="F76" s="659" t="s">
        <v>2636</v>
      </c>
      <c r="G76" s="659" t="s">
        <v>2637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2656</v>
      </c>
      <c r="C78" s="577" t="s">
        <v>2555</v>
      </c>
      <c r="D78" s="577" t="s">
        <v>2556</v>
      </c>
      <c r="E78" s="577" t="s">
        <v>2557</v>
      </c>
      <c r="F78" s="577" t="s">
        <v>2558</v>
      </c>
      <c r="G78" s="577" t="s">
        <v>2559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9"/>
      <c r="B87" s="568"/>
      <c r="C87" s="569"/>
      <c r="D87" s="569"/>
      <c r="E87" s="569"/>
      <c r="F87" s="569"/>
      <c r="G87" s="590"/>
      <c r="H87" s="590"/>
      <c r="I87" s="590"/>
      <c r="J87" s="590"/>
      <c r="K87" s="590"/>
      <c r="L87" s="590"/>
      <c r="M87" s="591"/>
      <c r="N87" s="1150"/>
      <c r="O87" s="1150"/>
      <c r="P87" s="45"/>
      <c r="Q87" s="503"/>
    </row>
    <row r="88" spans="1:17">
      <c r="A88" s="526" t="s">
        <v>2521</v>
      </c>
      <c r="B88" s="527" t="s">
        <v>2570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2571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2572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2574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1961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2575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2576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2578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2664</v>
      </c>
      <c r="C106" s="577" t="s">
        <v>2555</v>
      </c>
      <c r="D106" s="577" t="s">
        <v>2556</v>
      </c>
      <c r="E106" s="577" t="s">
        <v>2557</v>
      </c>
      <c r="F106" s="577" t="s">
        <v>2558</v>
      </c>
      <c r="G106" s="577" t="s">
        <v>2559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19"/>
      <c r="F1" s="2577"/>
      <c r="G1" s="1620" t="s">
        <v>2601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2285</v>
      </c>
      <c r="B2" s="1415" t="e">
        <f ca="1">IF(C2="——",IF(B37="元/平方米",ROUND(C39*D3/10000,0),ROUND(F3*C39/10000,0)),IF(B37="元/平方米",ROUND(C39*D3/10000,0),ROUND(F3*C39/10000,0))-D2)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2287</v>
      </c>
      <c r="B3" s="608" t="e">
        <f ca="1">IF(AND(C2="——",B37="元/平方米"),C39,ROUND(B2*10000/D3,0))</f>
        <v>#DIV/0!</v>
      </c>
      <c r="C3" s="399" t="s">
        <v>2602</v>
      </c>
      <c r="D3" s="398">
        <f>SUMIF('数据-汇总表'!$C19:$C33,D1,'数据-汇总表'!$E19:$E33)</f>
        <v>0</v>
      </c>
      <c r="E3" s="399" t="s">
        <v>2666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28" t="s">
        <v>2507</v>
      </c>
      <c r="Q7" s="3256"/>
      <c r="R7" s="769" t="s">
        <v>17</v>
      </c>
      <c r="S7" s="770">
        <f t="shared" ref="S7:S14" si="0">F7</f>
        <v>0</v>
      </c>
      <c r="T7" s="769" t="s">
        <v>17</v>
      </c>
      <c r="U7" s="770">
        <f t="shared" ref="U7:U14" si="1">H7</f>
        <v>0</v>
      </c>
      <c r="V7" s="769" t="s">
        <v>17</v>
      </c>
      <c r="W7" s="770">
        <f t="shared" ref="W7:W14" si="2">J7</f>
        <v>0</v>
      </c>
      <c r="X7" s="771"/>
      <c r="Y7" s="3228" t="s">
        <v>2507</v>
      </c>
      <c r="Z7" s="3229"/>
      <c r="AA7" s="772" t="e">
        <f>D7/F7</f>
        <v>#DIV/0!</v>
      </c>
      <c r="AB7" s="772" t="e">
        <f>D7/H7</f>
        <v>#DIV/0!</v>
      </c>
      <c r="AC7" s="772" t="e">
        <f>D7/J7</f>
        <v>#DIV/0!</v>
      </c>
    </row>
    <row r="8" spans="1:29" s="117" customFormat="1" ht="15.75" thickBot="1">
      <c r="A8" s="407" t="s">
        <v>2508</v>
      </c>
      <c r="B8" s="408"/>
      <c r="C8" s="413" t="s">
        <v>2610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36" si="3">D8/F8</f>
        <v>#DIV/0!</v>
      </c>
      <c r="AB8" s="772" t="e">
        <f t="shared" ref="AB8:AB36" si="4">D8/H8</f>
        <v>#DIV/0!</v>
      </c>
      <c r="AC8" s="772" t="e">
        <f t="shared" ref="AC8:AC36" si="5">D8/J8</f>
        <v>#DIV/0!</v>
      </c>
    </row>
    <row r="9" spans="1:29" s="117" customFormat="1">
      <c r="A9" s="68" t="s">
        <v>2511</v>
      </c>
      <c r="B9" s="639" t="s">
        <v>2512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60" t="s">
        <v>2513</v>
      </c>
      <c r="Q9" s="1792" t="str">
        <f t="shared" ref="Q9:Q14" si="6">B9</f>
        <v>用途</v>
      </c>
      <c r="R9" s="769" t="s">
        <v>17</v>
      </c>
      <c r="S9" s="770">
        <f t="shared" si="0"/>
        <v>100</v>
      </c>
      <c r="T9" s="769" t="s">
        <v>17</v>
      </c>
      <c r="U9" s="770">
        <f t="shared" si="1"/>
        <v>100</v>
      </c>
      <c r="V9" s="769" t="s">
        <v>17</v>
      </c>
      <c r="W9" s="770">
        <f t="shared" si="2"/>
        <v>100</v>
      </c>
      <c r="X9" s="771"/>
      <c r="Y9" s="3055" t="s">
        <v>2514</v>
      </c>
      <c r="Z9" s="55" t="str">
        <f t="shared" ref="Z9:Z14" si="7">Q9</f>
        <v>用途</v>
      </c>
      <c r="AA9" s="772">
        <f t="shared" si="3"/>
        <v>1</v>
      </c>
      <c r="AB9" s="772">
        <f t="shared" si="4"/>
        <v>1</v>
      </c>
      <c r="AC9" s="772">
        <f t="shared" si="5"/>
        <v>1</v>
      </c>
    </row>
    <row r="10" spans="1:29" s="426" customFormat="1" ht="27">
      <c r="A10" s="640"/>
      <c r="B10" s="641" t="s">
        <v>2515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60"/>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60"/>
      <c r="Q11" s="1792">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60"/>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00" t="s">
        <v>2517</v>
      </c>
      <c r="B14" s="628" t="s">
        <v>2667</v>
      </c>
      <c r="C14" s="2686" t="str">
        <f>IF(B1="工业",估价对象房地状况!G4,估价对象房地状况!C6)</f>
        <v>估价对象周边道路状况好、公共交通通达情况好、停车便捷程度好，综合评价交通便捷度较好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62" t="s">
        <v>2518</v>
      </c>
      <c r="Q14" s="1807" t="str">
        <f t="shared" si="6"/>
        <v>交通便捷度</v>
      </c>
      <c r="R14" s="773" t="s">
        <v>17</v>
      </c>
      <c r="S14" s="774">
        <f t="shared" si="0"/>
        <v>100</v>
      </c>
      <c r="T14" s="773" t="s">
        <v>17</v>
      </c>
      <c r="U14" s="774">
        <f t="shared" si="1"/>
        <v>100</v>
      </c>
      <c r="V14" s="773" t="s">
        <v>17</v>
      </c>
      <c r="W14" s="774">
        <f t="shared" si="2"/>
        <v>100</v>
      </c>
      <c r="X14" s="1810"/>
      <c r="Y14" s="3262" t="s">
        <v>2518</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63"/>
      <c r="Q15" s="1807"/>
      <c r="R15" s="773"/>
      <c r="S15" s="774"/>
      <c r="T15" s="773"/>
      <c r="U15" s="774"/>
      <c r="V15" s="773"/>
      <c r="W15" s="774"/>
      <c r="X15" s="1810"/>
      <c r="Y15" s="3263"/>
      <c r="Z15" s="1811"/>
      <c r="AA15" s="1808">
        <v>1</v>
      </c>
      <c r="AB15" s="1808">
        <v>1</v>
      </c>
      <c r="AC15" s="1808">
        <v>1</v>
      </c>
    </row>
    <row r="16" spans="1:29" ht="42.75">
      <c r="A16" s="403"/>
      <c r="B16" s="630" t="s">
        <v>2646</v>
      </c>
      <c r="C16" s="2600"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63"/>
      <c r="Q16" s="1807" t="str">
        <f>B16</f>
        <v>公共配套设施</v>
      </c>
      <c r="R16" s="773" t="s">
        <v>17</v>
      </c>
      <c r="S16" s="774">
        <f>F16</f>
        <v>100</v>
      </c>
      <c r="T16" s="773" t="s">
        <v>17</v>
      </c>
      <c r="U16" s="774">
        <f>H16</f>
        <v>100</v>
      </c>
      <c r="V16" s="773" t="s">
        <v>17</v>
      </c>
      <c r="W16" s="774">
        <f>J16</f>
        <v>100</v>
      </c>
      <c r="X16" s="1810"/>
      <c r="Y16" s="3263"/>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263"/>
      <c r="Q17" s="1807"/>
      <c r="R17" s="773"/>
      <c r="S17" s="774"/>
      <c r="T17" s="773"/>
      <c r="U17" s="774"/>
      <c r="V17" s="773"/>
      <c r="W17" s="774"/>
      <c r="X17" s="1810"/>
      <c r="Y17" s="3263"/>
      <c r="Z17" s="1811"/>
      <c r="AA17" s="1808">
        <v>1</v>
      </c>
      <c r="AB17" s="1808">
        <v>1</v>
      </c>
      <c r="AC17" s="1808">
        <v>1</v>
      </c>
    </row>
    <row r="18" spans="1:29" ht="42.75">
      <c r="A18" s="403"/>
      <c r="B18" s="632" t="s">
        <v>2647</v>
      </c>
      <c r="C18" s="2600"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63"/>
      <c r="Q18" s="1807" t="str">
        <f>B18</f>
        <v>基础设施水平</v>
      </c>
      <c r="R18" s="773" t="s">
        <v>17</v>
      </c>
      <c r="S18" s="774">
        <f>F18</f>
        <v>100</v>
      </c>
      <c r="T18" s="773" t="s">
        <v>17</v>
      </c>
      <c r="U18" s="774">
        <f>H18</f>
        <v>100</v>
      </c>
      <c r="V18" s="773" t="s">
        <v>17</v>
      </c>
      <c r="W18" s="774">
        <f>J18</f>
        <v>100</v>
      </c>
      <c r="X18" s="1810"/>
      <c r="Y18" s="3263"/>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263"/>
      <c r="Q19" s="1807"/>
      <c r="R19" s="773"/>
      <c r="S19" s="774"/>
      <c r="T19" s="773"/>
      <c r="U19" s="774"/>
      <c r="V19" s="773"/>
      <c r="W19" s="774"/>
      <c r="X19" s="1810"/>
      <c r="Y19" s="3263"/>
      <c r="Z19" s="1811"/>
      <c r="AA19" s="1808">
        <v>1</v>
      </c>
      <c r="AB19" s="1808">
        <v>1</v>
      </c>
      <c r="AC19" s="1808">
        <v>1</v>
      </c>
    </row>
    <row r="20" spans="1:29" ht="57">
      <c r="A20" s="403"/>
      <c r="B20" s="630" t="s">
        <v>2668</v>
      </c>
      <c r="C20" s="2600" t="str">
        <f>IF(B1="工业",估价对象房地状况!G7,估价对象房地状况!C9)</f>
        <v>区域自然环境及人文环境好；综合评价环境状况较好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63"/>
      <c r="Q20" s="1807" t="str">
        <f>B20</f>
        <v>自然及人文环境</v>
      </c>
      <c r="R20" s="773" t="s">
        <v>17</v>
      </c>
      <c r="S20" s="774">
        <f>F20</f>
        <v>100</v>
      </c>
      <c r="T20" s="773" t="s">
        <v>17</v>
      </c>
      <c r="U20" s="774">
        <f>H20</f>
        <v>100</v>
      </c>
      <c r="V20" s="773" t="s">
        <v>17</v>
      </c>
      <c r="W20" s="774">
        <f>J20</f>
        <v>100</v>
      </c>
      <c r="X20" s="1810"/>
      <c r="Y20" s="3263"/>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63"/>
      <c r="Q21" s="1807"/>
      <c r="R21" s="773"/>
      <c r="S21" s="774"/>
      <c r="T21" s="773"/>
      <c r="U21" s="774"/>
      <c r="V21" s="773"/>
      <c r="W21" s="774"/>
      <c r="X21" s="1810"/>
      <c r="Y21" s="3263"/>
      <c r="Z21" s="1811"/>
      <c r="AA21" s="1808">
        <v>1</v>
      </c>
      <c r="AB21" s="1808">
        <v>1</v>
      </c>
      <c r="AC21" s="1808">
        <v>1</v>
      </c>
    </row>
    <row r="22" spans="1:29" ht="15">
      <c r="A22" s="403"/>
      <c r="B22" s="630" t="s">
        <v>2669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63"/>
      <c r="Q22" s="1807" t="str">
        <f>B22</f>
        <v>楼层</v>
      </c>
      <c r="R22" s="773" t="s">
        <v>17</v>
      </c>
      <c r="S22" s="774">
        <f>F22</f>
        <v>100</v>
      </c>
      <c r="T22" s="773" t="s">
        <v>17</v>
      </c>
      <c r="U22" s="774">
        <f>H22</f>
        <v>100</v>
      </c>
      <c r="V22" s="773" t="s">
        <v>17</v>
      </c>
      <c r="W22" s="774">
        <f>J22</f>
        <v>100</v>
      </c>
      <c r="X22" s="1810"/>
      <c r="Y22" s="3263"/>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63"/>
      <c r="Q23" s="1807">
        <f>B23</f>
        <v>111</v>
      </c>
      <c r="R23" s="773" t="s">
        <v>17</v>
      </c>
      <c r="S23" s="774">
        <f>F23</f>
        <v>100</v>
      </c>
      <c r="T23" s="773" t="s">
        <v>17</v>
      </c>
      <c r="U23" s="774">
        <f>H23</f>
        <v>100</v>
      </c>
      <c r="V23" s="773" t="s">
        <v>17</v>
      </c>
      <c r="W23" s="774">
        <f>J23</f>
        <v>100</v>
      </c>
      <c r="X23" s="1810"/>
      <c r="Y23" s="3263"/>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63"/>
      <c r="Q24" s="1807">
        <f t="shared" ref="Q24:Q36" si="11">B24</f>
        <v>111</v>
      </c>
      <c r="R24" s="773" t="s">
        <v>17</v>
      </c>
      <c r="S24" s="774">
        <f>F24</f>
        <v>100</v>
      </c>
      <c r="T24" s="773" t="s">
        <v>17</v>
      </c>
      <c r="U24" s="774">
        <f>H24</f>
        <v>100</v>
      </c>
      <c r="V24" s="773" t="s">
        <v>17</v>
      </c>
      <c r="W24" s="774">
        <f>J24</f>
        <v>100</v>
      </c>
      <c r="X24" s="1810"/>
      <c r="Y24" s="3263"/>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63"/>
      <c r="Q25" s="1792">
        <f t="shared" si="11"/>
        <v>111</v>
      </c>
      <c r="R25" s="769" t="s">
        <v>17</v>
      </c>
      <c r="S25" s="770">
        <f>F25</f>
        <v>100</v>
      </c>
      <c r="T25" s="769" t="s">
        <v>17</v>
      </c>
      <c r="U25" s="770">
        <f>H25</f>
        <v>100</v>
      </c>
      <c r="V25" s="769" t="s">
        <v>17</v>
      </c>
      <c r="W25" s="770">
        <f>J25</f>
        <v>100</v>
      </c>
      <c r="X25" s="771"/>
      <c r="Y25" s="3263"/>
      <c r="Z25" s="55">
        <f>Q25</f>
        <v>111</v>
      </c>
      <c r="AA25" s="1808">
        <f>D25/F25</f>
        <v>1</v>
      </c>
      <c r="AB25" s="1808">
        <f>D25/H25</f>
        <v>1</v>
      </c>
      <c r="AC25" s="1808">
        <f>D25/J25</f>
        <v>1</v>
      </c>
    </row>
    <row r="26" spans="1:29" ht="15">
      <c r="A26" s="651" t="s">
        <v>2521</v>
      </c>
      <c r="B26" s="70" t="s">
        <v>2670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86" t="s">
        <v>2523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67" t="s">
        <v>2523</v>
      </c>
      <c r="Z26" s="1811" t="str">
        <f t="shared" ref="Z26:Z36" si="15">Q26</f>
        <v>配套类型</v>
      </c>
      <c r="AA26" s="1808">
        <f t="shared" si="3"/>
        <v>1</v>
      </c>
      <c r="AB26" s="1808">
        <f t="shared" si="4"/>
        <v>1</v>
      </c>
      <c r="AC26" s="1808">
        <f t="shared" si="5"/>
        <v>1</v>
      </c>
    </row>
    <row r="27" spans="1:29" s="470" customFormat="1" ht="15">
      <c r="A27" s="652"/>
      <c r="B27" s="653" t="s">
        <v>2671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67"/>
      <c r="Q27" s="775" t="str">
        <f t="shared" si="11"/>
        <v>项目停车位配比</v>
      </c>
      <c r="R27" s="776" t="s">
        <v>17</v>
      </c>
      <c r="S27" s="777">
        <f t="shared" si="12"/>
        <v>100</v>
      </c>
      <c r="T27" s="776" t="s">
        <v>17</v>
      </c>
      <c r="U27" s="777">
        <f t="shared" si="13"/>
        <v>100</v>
      </c>
      <c r="V27" s="776" t="s">
        <v>17</v>
      </c>
      <c r="W27" s="777">
        <f t="shared" si="14"/>
        <v>100</v>
      </c>
      <c r="X27" s="778"/>
      <c r="Y27" s="3267"/>
      <c r="Z27" s="779" t="str">
        <f t="shared" si="15"/>
        <v>项目停车位配比</v>
      </c>
      <c r="AA27" s="1808">
        <f t="shared" si="3"/>
        <v>1</v>
      </c>
      <c r="AB27" s="1808">
        <f t="shared" si="4"/>
        <v>1</v>
      </c>
      <c r="AC27" s="1808">
        <f t="shared" si="5"/>
        <v>1</v>
      </c>
    </row>
    <row r="28" spans="1:29" ht="15">
      <c r="A28" s="655"/>
      <c r="B28" s="653" t="s">
        <v>2672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67"/>
      <c r="Q28" s="1807" t="str">
        <f t="shared" si="11"/>
        <v>公共部分装修</v>
      </c>
      <c r="R28" s="773" t="s">
        <v>17</v>
      </c>
      <c r="S28" s="774">
        <f t="shared" si="12"/>
        <v>100</v>
      </c>
      <c r="T28" s="773" t="s">
        <v>17</v>
      </c>
      <c r="U28" s="774">
        <f t="shared" si="13"/>
        <v>100</v>
      </c>
      <c r="V28" s="773" t="s">
        <v>17</v>
      </c>
      <c r="W28" s="774">
        <f t="shared" si="14"/>
        <v>100</v>
      </c>
      <c r="X28" s="1810"/>
      <c r="Y28" s="3267"/>
      <c r="Z28" s="1811" t="str">
        <f t="shared" si="15"/>
        <v>公共部分装修</v>
      </c>
      <c r="AA28" s="1808">
        <f t="shared" si="3"/>
        <v>1</v>
      </c>
      <c r="AB28" s="1808">
        <f t="shared" si="4"/>
        <v>1</v>
      </c>
      <c r="AC28" s="1808">
        <f t="shared" si="5"/>
        <v>1</v>
      </c>
    </row>
    <row r="29" spans="1:29" ht="15">
      <c r="A29" s="655"/>
      <c r="B29" s="653" t="s">
        <v>2673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67"/>
      <c r="Q29" s="1807" t="str">
        <f t="shared" si="11"/>
        <v>成新率</v>
      </c>
      <c r="R29" s="773" t="s">
        <v>17</v>
      </c>
      <c r="S29" s="774" t="e">
        <f t="shared" si="12"/>
        <v>#N/A</v>
      </c>
      <c r="T29" s="773" t="s">
        <v>17</v>
      </c>
      <c r="U29" s="774" t="e">
        <f t="shared" si="13"/>
        <v>#N/A</v>
      </c>
      <c r="V29" s="773" t="s">
        <v>17</v>
      </c>
      <c r="W29" s="774" t="e">
        <f t="shared" si="14"/>
        <v>#N/A</v>
      </c>
      <c r="X29" s="1810"/>
      <c r="Y29" s="3267"/>
      <c r="Z29" s="1811" t="str">
        <f t="shared" si="15"/>
        <v>成新率</v>
      </c>
      <c r="AA29" s="1808" t="e">
        <f t="shared" si="3"/>
        <v>#N/A</v>
      </c>
      <c r="AB29" s="1808" t="e">
        <f t="shared" si="4"/>
        <v>#N/A</v>
      </c>
      <c r="AC29" s="1808" t="e">
        <f t="shared" si="5"/>
        <v>#N/A</v>
      </c>
    </row>
    <row r="30" spans="1:29" ht="15">
      <c r="A30" s="655"/>
      <c r="B30" s="653" t="s">
        <v>2674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67"/>
      <c r="Q30" s="1807" t="str">
        <f t="shared" si="11"/>
        <v>物业等级</v>
      </c>
      <c r="R30" s="773" t="s">
        <v>17</v>
      </c>
      <c r="S30" s="774">
        <f t="shared" si="12"/>
        <v>100</v>
      </c>
      <c r="T30" s="773" t="s">
        <v>17</v>
      </c>
      <c r="U30" s="774">
        <f t="shared" si="13"/>
        <v>100</v>
      </c>
      <c r="V30" s="773" t="s">
        <v>17</v>
      </c>
      <c r="W30" s="774">
        <f t="shared" si="14"/>
        <v>100</v>
      </c>
      <c r="X30" s="1810"/>
      <c r="Y30" s="3267"/>
      <c r="Z30" s="1811" t="str">
        <f t="shared" si="15"/>
        <v>物业等级</v>
      </c>
      <c r="AA30" s="1808">
        <f t="shared" si="3"/>
        <v>1</v>
      </c>
      <c r="AB30" s="1808">
        <f t="shared" si="4"/>
        <v>1</v>
      </c>
      <c r="AC30" s="1808">
        <f t="shared" si="5"/>
        <v>1</v>
      </c>
    </row>
    <row r="31" spans="1:29" s="117" customFormat="1" ht="15">
      <c r="A31" s="657"/>
      <c r="B31" s="653" t="s">
        <v>2675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67"/>
      <c r="Q31" s="1792" t="str">
        <f t="shared" si="11"/>
        <v>停车位面积</v>
      </c>
      <c r="R31" s="769" t="s">
        <v>17</v>
      </c>
      <c r="S31" s="770" t="e">
        <f t="shared" si="12"/>
        <v>#N/A</v>
      </c>
      <c r="T31" s="769" t="s">
        <v>17</v>
      </c>
      <c r="U31" s="770" t="e">
        <f t="shared" si="13"/>
        <v>#N/A</v>
      </c>
      <c r="V31" s="769" t="s">
        <v>17</v>
      </c>
      <c r="W31" s="770" t="e">
        <f t="shared" si="14"/>
        <v>#N/A</v>
      </c>
      <c r="X31" s="771"/>
      <c r="Y31" s="3267"/>
      <c r="Z31" s="55" t="str">
        <f t="shared" si="15"/>
        <v>停车位面积</v>
      </c>
      <c r="AA31" s="772" t="e">
        <f t="shared" si="3"/>
        <v>#N/A</v>
      </c>
      <c r="AB31" s="772" t="e">
        <f t="shared" si="4"/>
        <v>#N/A</v>
      </c>
      <c r="AC31" s="772" t="e">
        <f t="shared" si="5"/>
        <v>#N/A</v>
      </c>
    </row>
    <row r="32" spans="1:29" ht="15">
      <c r="A32" s="655"/>
      <c r="B32" s="653" t="s">
        <v>2676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67" t="s">
        <v>2523</v>
      </c>
      <c r="Q32" s="1807" t="str">
        <f t="shared" si="11"/>
        <v>车位类型</v>
      </c>
      <c r="R32" s="773" t="s">
        <v>17</v>
      </c>
      <c r="S32" s="774">
        <f t="shared" si="12"/>
        <v>100</v>
      </c>
      <c r="T32" s="773" t="s">
        <v>17</v>
      </c>
      <c r="U32" s="774">
        <f t="shared" si="13"/>
        <v>100</v>
      </c>
      <c r="V32" s="773" t="s">
        <v>17</v>
      </c>
      <c r="W32" s="774">
        <f t="shared" si="14"/>
        <v>100</v>
      </c>
      <c r="X32" s="1810"/>
      <c r="Y32" s="3267" t="s">
        <v>2523</v>
      </c>
      <c r="Z32" s="1811" t="str">
        <f t="shared" si="15"/>
        <v>车位类型</v>
      </c>
      <c r="AA32" s="1808">
        <f t="shared" si="3"/>
        <v>1</v>
      </c>
      <c r="AB32" s="1808">
        <f t="shared" si="4"/>
        <v>1</v>
      </c>
      <c r="AC32" s="1808">
        <f t="shared" si="5"/>
        <v>1</v>
      </c>
    </row>
    <row r="33" spans="1:29" ht="15">
      <c r="A33" s="655"/>
      <c r="B33" s="653" t="s">
        <v>2677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67"/>
      <c r="Q33" s="1807" t="str">
        <f t="shared" si="11"/>
        <v>是否直接入户</v>
      </c>
      <c r="R33" s="773" t="s">
        <v>17</v>
      </c>
      <c r="S33" s="774">
        <f t="shared" si="12"/>
        <v>100</v>
      </c>
      <c r="T33" s="773" t="s">
        <v>17</v>
      </c>
      <c r="U33" s="774">
        <f t="shared" si="13"/>
        <v>100</v>
      </c>
      <c r="V33" s="773" t="s">
        <v>17</v>
      </c>
      <c r="W33" s="774">
        <f t="shared" si="14"/>
        <v>100</v>
      </c>
      <c r="X33" s="1810"/>
      <c r="Y33" s="3267"/>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67"/>
      <c r="Q34" s="1807">
        <f t="shared" si="11"/>
        <v>111</v>
      </c>
      <c r="R34" s="773" t="s">
        <v>17</v>
      </c>
      <c r="S34" s="774">
        <f t="shared" si="12"/>
        <v>100</v>
      </c>
      <c r="T34" s="773" t="s">
        <v>17</v>
      </c>
      <c r="U34" s="774">
        <f t="shared" si="13"/>
        <v>100</v>
      </c>
      <c r="V34" s="773" t="s">
        <v>17</v>
      </c>
      <c r="W34" s="774">
        <f t="shared" si="14"/>
        <v>100</v>
      </c>
      <c r="X34" s="1810"/>
      <c r="Y34" s="3267"/>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67"/>
      <c r="Q35" s="775">
        <f t="shared" si="11"/>
        <v>111</v>
      </c>
      <c r="R35" s="776" t="s">
        <v>17</v>
      </c>
      <c r="S35" s="777">
        <f t="shared" si="12"/>
        <v>100</v>
      </c>
      <c r="T35" s="776" t="s">
        <v>17</v>
      </c>
      <c r="U35" s="777">
        <f t="shared" si="13"/>
        <v>100</v>
      </c>
      <c r="V35" s="776" t="s">
        <v>17</v>
      </c>
      <c r="W35" s="777">
        <f t="shared" si="14"/>
        <v>100</v>
      </c>
      <c r="X35" s="778"/>
      <c r="Y35" s="3267"/>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67"/>
      <c r="Q36" s="1807">
        <f t="shared" si="11"/>
        <v>111</v>
      </c>
      <c r="R36" s="773" t="s">
        <v>17</v>
      </c>
      <c r="S36" s="774">
        <f t="shared" si="12"/>
        <v>100</v>
      </c>
      <c r="T36" s="773" t="s">
        <v>17</v>
      </c>
      <c r="U36" s="774">
        <f t="shared" si="13"/>
        <v>100</v>
      </c>
      <c r="V36" s="773" t="s">
        <v>17</v>
      </c>
      <c r="W36" s="774">
        <f t="shared" si="14"/>
        <v>100</v>
      </c>
      <c r="X36" s="1810"/>
      <c r="Y36" s="3267"/>
      <c r="Z36" s="1811">
        <f t="shared" si="15"/>
        <v>111</v>
      </c>
      <c r="AA36" s="1808">
        <f t="shared" si="3"/>
        <v>1</v>
      </c>
      <c r="AB36" s="1808">
        <f t="shared" si="4"/>
        <v>1</v>
      </c>
      <c r="AC36" s="1808">
        <f t="shared" si="5"/>
        <v>1</v>
      </c>
    </row>
    <row r="37" spans="1:29" ht="15">
      <c r="A37" s="478" t="s">
        <v>2678</v>
      </c>
      <c r="B37" s="2688" t="s">
        <v>2679</v>
      </c>
      <c r="C37" s="1404" t="s">
        <v>1</v>
      </c>
      <c r="D37" s="1405"/>
      <c r="E37" s="1406"/>
      <c r="F37" s="1407"/>
      <c r="G37" s="1408"/>
      <c r="H37" s="1409"/>
      <c r="I37" s="1406"/>
      <c r="J37" s="1409"/>
      <c r="K37" s="618"/>
      <c r="L37" s="1140"/>
      <c r="M37" s="1141"/>
      <c r="N37" s="1128"/>
      <c r="O37" s="1141"/>
      <c r="P37" s="3260" t="str">
        <f>A37</f>
        <v>成交单价</v>
      </c>
      <c r="Q37" s="3260"/>
      <c r="R37" s="3261">
        <f>E37</f>
        <v>0</v>
      </c>
      <c r="S37" s="3261"/>
      <c r="T37" s="3261">
        <f>G37</f>
        <v>0</v>
      </c>
      <c r="U37" s="3261"/>
      <c r="V37" s="3261">
        <f>I37</f>
        <v>0</v>
      </c>
      <c r="W37" s="3261"/>
      <c r="X37" s="758"/>
      <c r="Y37" s="780"/>
      <c r="Z37" s="758"/>
      <c r="AA37" s="758"/>
      <c r="AB37" s="758"/>
      <c r="AC37" s="758"/>
    </row>
    <row r="38" spans="1:29" ht="15.75" thickBot="1">
      <c r="A38" s="485" t="s">
        <v>2680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75" thickBot="1">
      <c r="A39" s="491" t="s">
        <v>2681</v>
      </c>
      <c r="B39" s="492"/>
      <c r="C39" s="1414" t="e">
        <f>R39</f>
        <v>#DIV/0!</v>
      </c>
      <c r="D39" s="1414"/>
      <c r="E39" s="1414"/>
      <c r="F39" s="1414"/>
      <c r="G39" s="1414"/>
      <c r="H39" s="1414"/>
      <c r="I39" s="1414"/>
      <c r="J39" s="1414"/>
      <c r="K39" s="620"/>
      <c r="L39" s="1140"/>
      <c r="M39" s="1141"/>
      <c r="N39" s="1141"/>
      <c r="O39" s="1141"/>
      <c r="P39" s="3257" t="str">
        <f>A39</f>
        <v>估价对象XX用房的比较价值（楼面单价，元/平方米）</v>
      </c>
      <c r="Q39" s="3258"/>
      <c r="R39" s="3259" t="e">
        <f>IF(F1="售价",ROUND(AVERAGE(R38:V38),0),ROUND(AVERAGE(R38:V38),1))</f>
        <v>#DIV/0!</v>
      </c>
      <c r="S39" s="3259"/>
      <c r="T39" s="3259"/>
      <c r="U39" s="3259"/>
      <c r="V39" s="3259"/>
      <c r="W39" s="3259"/>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2682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2683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2684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2686</v>
      </c>
      <c r="B48" s="505"/>
      <c r="C48" s="1571" t="str">
        <f>YEAR(C7)&amp;"-"&amp;MONTH(C7)</f>
        <v>2018-3</v>
      </c>
      <c r="D48" s="1572">
        <f>EDATE(C48,-1)</f>
        <v>43132</v>
      </c>
      <c r="E48" s="1572">
        <f t="shared" ref="E48:O48" si="16">EDATE(D48,-1)</f>
        <v>43101</v>
      </c>
      <c r="F48" s="1572">
        <f t="shared" si="16"/>
        <v>43070</v>
      </c>
      <c r="G48" s="1572">
        <f t="shared" si="16"/>
        <v>43040</v>
      </c>
      <c r="H48" s="1572">
        <f t="shared" si="16"/>
        <v>43009</v>
      </c>
      <c r="I48" s="1572">
        <f t="shared" si="16"/>
        <v>42979</v>
      </c>
      <c r="J48" s="1572">
        <f t="shared" si="16"/>
        <v>42948</v>
      </c>
      <c r="K48" s="1572">
        <f t="shared" si="16"/>
        <v>42917</v>
      </c>
      <c r="L48" s="1572">
        <f t="shared" si="16"/>
        <v>42887</v>
      </c>
      <c r="M48" s="1572">
        <f t="shared" si="16"/>
        <v>42856</v>
      </c>
      <c r="N48" s="1572">
        <f t="shared" si="16"/>
        <v>42826</v>
      </c>
      <c r="O48" s="1572">
        <f t="shared" si="16"/>
        <v>42795</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2543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2508</v>
      </c>
      <c r="B51" s="509"/>
      <c r="C51" s="521" t="s">
        <v>2610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2546</v>
      </c>
      <c r="B53" s="527" t="s">
        <v>2512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2515</v>
      </c>
      <c r="C55" s="538" t="s">
        <v>2547</v>
      </c>
      <c r="D55" s="538" t="s">
        <v>2548</v>
      </c>
      <c r="E55" s="538" t="s">
        <v>2549</v>
      </c>
      <c r="F55" s="538" t="s">
        <v>2550</v>
      </c>
      <c r="G55" s="538" t="s">
        <v>2551</v>
      </c>
      <c r="H55" s="538" t="s">
        <v>2552</v>
      </c>
      <c r="I55" s="538" t="s">
        <v>2553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2517</v>
      </c>
      <c r="B63" s="527" t="s">
        <v>2560</v>
      </c>
      <c r="C63" s="572" t="s">
        <v>2555</v>
      </c>
      <c r="D63" s="572" t="s">
        <v>2556</v>
      </c>
      <c r="E63" s="572" t="s">
        <v>2557</v>
      </c>
      <c r="F63" s="572" t="s">
        <v>2558</v>
      </c>
      <c r="G63" s="572" t="s">
        <v>2559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2561</v>
      </c>
      <c r="C65" s="577" t="s">
        <v>2555</v>
      </c>
      <c r="D65" s="577" t="s">
        <v>2556</v>
      </c>
      <c r="E65" s="577" t="s">
        <v>2557</v>
      </c>
      <c r="F65" s="577" t="s">
        <v>2558</v>
      </c>
      <c r="G65" s="577" t="s">
        <v>2559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2647</v>
      </c>
      <c r="C67" s="659" t="s">
        <v>2633</v>
      </c>
      <c r="D67" s="659" t="s">
        <v>2634</v>
      </c>
      <c r="E67" s="659" t="s">
        <v>2635</v>
      </c>
      <c r="F67" s="659" t="s">
        <v>2636</v>
      </c>
      <c r="G67" s="659" t="s">
        <v>2637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2567</v>
      </c>
      <c r="C69" s="577" t="s">
        <v>2555</v>
      </c>
      <c r="D69" s="577" t="s">
        <v>2556</v>
      </c>
      <c r="E69" s="577" t="s">
        <v>2557</v>
      </c>
      <c r="F69" s="577" t="s">
        <v>2558</v>
      </c>
      <c r="G69" s="577" t="s">
        <v>2559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2687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2521</v>
      </c>
      <c r="B79" s="527" t="s">
        <v>2688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2689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2574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2690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2691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2692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2693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2694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IF(C2="——",ROUND(C37*D3/10000,0),ROUND(C37*D3/10000,0)-D2)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IF(C2="——",C37,ROUND(B2*10000/D3,0))</f>
        <v>#DIV/0!</v>
      </c>
      <c r="C3" s="399" t="s">
        <v>2602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28" t="s">
        <v>2507</v>
      </c>
      <c r="Q7" s="3256"/>
      <c r="R7" s="769" t="s">
        <v>17</v>
      </c>
      <c r="S7" s="770">
        <f t="shared" ref="S7:S14" si="0">F7</f>
        <v>0</v>
      </c>
      <c r="T7" s="769" t="s">
        <v>17</v>
      </c>
      <c r="U7" s="770">
        <f t="shared" ref="U7:U14" si="1">H7</f>
        <v>0</v>
      </c>
      <c r="V7" s="769" t="s">
        <v>17</v>
      </c>
      <c r="W7" s="770">
        <f t="shared" ref="W7:W14" si="2">J7</f>
        <v>0</v>
      </c>
      <c r="X7" s="771"/>
      <c r="Y7" s="3228" t="s">
        <v>2507</v>
      </c>
      <c r="Z7" s="3229"/>
      <c r="AA7" s="772" t="e">
        <f>D7/F7</f>
        <v>#DIV/0!</v>
      </c>
      <c r="AB7" s="772" t="e">
        <f>D7/H7</f>
        <v>#DIV/0!</v>
      </c>
      <c r="AC7" s="772" t="e">
        <f>D7/J7</f>
        <v>#DIV/0!</v>
      </c>
    </row>
    <row r="8" spans="1:29" s="117" customFormat="1" ht="15.75" thickBot="1">
      <c r="A8" s="407" t="s">
        <v>2508</v>
      </c>
      <c r="B8" s="408"/>
      <c r="C8" s="413" t="s">
        <v>2610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34" si="3">D8/F8</f>
        <v>#DIV/0!</v>
      </c>
      <c r="AB8" s="772" t="e">
        <f t="shared" ref="AB8:AB34" si="4">D8/H8</f>
        <v>#DIV/0!</v>
      </c>
      <c r="AC8" s="772" t="e">
        <f t="shared" ref="AC8:AC34" si="5">D8/J8</f>
        <v>#DIV/0!</v>
      </c>
    </row>
    <row r="9" spans="1:29" s="117" customFormat="1">
      <c r="A9" s="414" t="s">
        <v>2511</v>
      </c>
      <c r="B9" s="71" t="s">
        <v>2512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60" t="s">
        <v>2513</v>
      </c>
      <c r="Q9" s="1792" t="str">
        <f t="shared" ref="Q9:Q14" si="6">B9</f>
        <v>用途</v>
      </c>
      <c r="R9" s="769" t="s">
        <v>17</v>
      </c>
      <c r="S9" s="770">
        <f t="shared" si="0"/>
        <v>100</v>
      </c>
      <c r="T9" s="769" t="s">
        <v>17</v>
      </c>
      <c r="U9" s="770">
        <f t="shared" si="1"/>
        <v>100</v>
      </c>
      <c r="V9" s="769" t="s">
        <v>17</v>
      </c>
      <c r="W9" s="770">
        <f t="shared" si="2"/>
        <v>100</v>
      </c>
      <c r="X9" s="771"/>
      <c r="Y9" s="3055" t="s">
        <v>2514</v>
      </c>
      <c r="Z9" s="55" t="str">
        <f t="shared" ref="Z9:Z14" si="7">Q9</f>
        <v>用途</v>
      </c>
      <c r="AA9" s="772">
        <f t="shared" si="3"/>
        <v>1</v>
      </c>
      <c r="AB9" s="772">
        <f t="shared" si="4"/>
        <v>1</v>
      </c>
      <c r="AC9" s="772">
        <f t="shared" si="5"/>
        <v>1</v>
      </c>
    </row>
    <row r="10" spans="1:29" s="426" customFormat="1" ht="27">
      <c r="A10" s="420"/>
      <c r="B10" s="421" t="s">
        <v>2515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60"/>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60"/>
      <c r="Q11" s="1792">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60"/>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39" t="s">
        <v>2517</v>
      </c>
      <c r="B14" s="69" t="s">
        <v>2667</v>
      </c>
      <c r="C14" s="2686" t="str">
        <f>IF(B1="工业",估价对象房地状况!G4,估价对象房地状况!C6)</f>
        <v>估价对象周边道路状况好、公共交通通达情况好、停车便捷程度好，综合评价交通便捷度较好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62" t="s">
        <v>2518</v>
      </c>
      <c r="Q14" s="1807" t="str">
        <f t="shared" si="6"/>
        <v>交通便捷度</v>
      </c>
      <c r="R14" s="773" t="s">
        <v>17</v>
      </c>
      <c r="S14" s="774">
        <f t="shared" si="0"/>
        <v>100</v>
      </c>
      <c r="T14" s="773" t="s">
        <v>17</v>
      </c>
      <c r="U14" s="774">
        <f t="shared" si="1"/>
        <v>100</v>
      </c>
      <c r="V14" s="773" t="s">
        <v>17</v>
      </c>
      <c r="W14" s="774">
        <f t="shared" si="2"/>
        <v>100</v>
      </c>
      <c r="X14" s="1810"/>
      <c r="Y14" s="3262" t="s">
        <v>2518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63"/>
      <c r="Q15" s="1807"/>
      <c r="R15" s="773"/>
      <c r="S15" s="774"/>
      <c r="T15" s="773"/>
      <c r="U15" s="774"/>
      <c r="V15" s="773"/>
      <c r="W15" s="774"/>
      <c r="X15" s="1810"/>
      <c r="Y15" s="3263"/>
      <c r="Z15" s="1811"/>
      <c r="AA15" s="1808">
        <v>1</v>
      </c>
      <c r="AB15" s="1808">
        <v>1</v>
      </c>
      <c r="AC15" s="1808">
        <v>1</v>
      </c>
    </row>
    <row r="16" spans="1:29" ht="42.75">
      <c r="A16" s="427"/>
      <c r="B16" s="450" t="s">
        <v>2646</v>
      </c>
      <c r="C16" s="260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63"/>
      <c r="Q16" s="1807" t="str">
        <f>B16</f>
        <v>公共配套设施</v>
      </c>
      <c r="R16" s="773" t="s">
        <v>17</v>
      </c>
      <c r="S16" s="774">
        <f>F16</f>
        <v>100</v>
      </c>
      <c r="T16" s="773" t="s">
        <v>17</v>
      </c>
      <c r="U16" s="774">
        <f>H16</f>
        <v>100</v>
      </c>
      <c r="V16" s="773" t="s">
        <v>17</v>
      </c>
      <c r="W16" s="774">
        <f>J16</f>
        <v>100</v>
      </c>
      <c r="X16" s="1810"/>
      <c r="Y16" s="3263"/>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263"/>
      <c r="Q17" s="1807"/>
      <c r="R17" s="773"/>
      <c r="S17" s="774"/>
      <c r="T17" s="773"/>
      <c r="U17" s="774"/>
      <c r="V17" s="773"/>
      <c r="W17" s="774"/>
      <c r="X17" s="1810"/>
      <c r="Y17" s="3263"/>
      <c r="Z17" s="1811"/>
      <c r="AA17" s="1808">
        <v>1</v>
      </c>
      <c r="AB17" s="1808">
        <v>1</v>
      </c>
      <c r="AC17" s="1808">
        <v>1</v>
      </c>
    </row>
    <row r="18" spans="1:29" ht="42.75">
      <c r="A18" s="427"/>
      <c r="B18" s="1381" t="s">
        <v>2647</v>
      </c>
      <c r="C18" s="2600"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63"/>
      <c r="Q18" s="1807" t="str">
        <f>B18</f>
        <v>基础设施水平</v>
      </c>
      <c r="R18" s="773" t="s">
        <v>17</v>
      </c>
      <c r="S18" s="774">
        <f>F18</f>
        <v>100</v>
      </c>
      <c r="T18" s="773" t="s">
        <v>17</v>
      </c>
      <c r="U18" s="774">
        <f>H18</f>
        <v>100</v>
      </c>
      <c r="V18" s="773" t="s">
        <v>17</v>
      </c>
      <c r="W18" s="774">
        <f>J18</f>
        <v>100</v>
      </c>
      <c r="X18" s="1810"/>
      <c r="Y18" s="3263"/>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263"/>
      <c r="Q19" s="1807"/>
      <c r="R19" s="773"/>
      <c r="S19" s="774"/>
      <c r="T19" s="773"/>
      <c r="U19" s="774"/>
      <c r="V19" s="773"/>
      <c r="W19" s="774"/>
      <c r="X19" s="1810"/>
      <c r="Y19" s="3263"/>
      <c r="Z19" s="1811"/>
      <c r="AA19" s="1808">
        <v>1</v>
      </c>
      <c r="AB19" s="1808">
        <v>1</v>
      </c>
      <c r="AC19" s="1808">
        <v>1</v>
      </c>
    </row>
    <row r="20" spans="1:29" ht="57">
      <c r="A20" s="427"/>
      <c r="B20" s="450" t="s">
        <v>2668</v>
      </c>
      <c r="C20" s="2600" t="str">
        <f>IF(B1="工业",估价对象房地状况!G7,估价对象房地状况!C9)</f>
        <v>区域自然环境及人文环境好；综合评价环境状况较好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63"/>
      <c r="Q20" s="1807" t="str">
        <f>B20</f>
        <v>自然及人文环境</v>
      </c>
      <c r="R20" s="773" t="s">
        <v>17</v>
      </c>
      <c r="S20" s="774">
        <f>F20</f>
        <v>100</v>
      </c>
      <c r="T20" s="773" t="s">
        <v>17</v>
      </c>
      <c r="U20" s="774">
        <f>H20</f>
        <v>100</v>
      </c>
      <c r="V20" s="773" t="s">
        <v>17</v>
      </c>
      <c r="W20" s="774">
        <f>J20</f>
        <v>100</v>
      </c>
      <c r="X20" s="1810"/>
      <c r="Y20" s="3263"/>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63"/>
      <c r="Q21" s="1807"/>
      <c r="R21" s="773"/>
      <c r="S21" s="774"/>
      <c r="T21" s="773"/>
      <c r="U21" s="774"/>
      <c r="V21" s="773"/>
      <c r="W21" s="774"/>
      <c r="X21" s="1810"/>
      <c r="Y21" s="3263"/>
      <c r="Z21" s="1811"/>
      <c r="AA21" s="1808">
        <v>1</v>
      </c>
      <c r="AB21" s="1808">
        <v>1</v>
      </c>
      <c r="AC21" s="1808">
        <v>1</v>
      </c>
    </row>
    <row r="22" spans="1:29" ht="15">
      <c r="A22" s="427"/>
      <c r="B22" s="450" t="s">
        <v>2669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63"/>
      <c r="Q22" s="1807" t="str">
        <f>B22</f>
        <v>楼层</v>
      </c>
      <c r="R22" s="773" t="s">
        <v>17</v>
      </c>
      <c r="S22" s="774">
        <f>F22</f>
        <v>100</v>
      </c>
      <c r="T22" s="773" t="s">
        <v>17</v>
      </c>
      <c r="U22" s="774">
        <f>H22</f>
        <v>100</v>
      </c>
      <c r="V22" s="773" t="s">
        <v>17</v>
      </c>
      <c r="W22" s="774">
        <f>J22</f>
        <v>100</v>
      </c>
      <c r="X22" s="1810"/>
      <c r="Y22" s="3263"/>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63"/>
      <c r="Q23" s="1807">
        <f>B23</f>
        <v>111</v>
      </c>
      <c r="R23" s="773" t="s">
        <v>17</v>
      </c>
      <c r="S23" s="774">
        <f>F23</f>
        <v>100</v>
      </c>
      <c r="T23" s="773" t="s">
        <v>17</v>
      </c>
      <c r="U23" s="774">
        <f>H23</f>
        <v>100</v>
      </c>
      <c r="V23" s="773" t="s">
        <v>17</v>
      </c>
      <c r="W23" s="774">
        <f>J23</f>
        <v>100</v>
      </c>
      <c r="X23" s="1810"/>
      <c r="Y23" s="3263"/>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63"/>
      <c r="Q24" s="1807">
        <f t="shared" ref="Q24:Q34" si="11">B24</f>
        <v>111</v>
      </c>
      <c r="R24" s="773" t="s">
        <v>17</v>
      </c>
      <c r="S24" s="774">
        <f>F24</f>
        <v>100</v>
      </c>
      <c r="T24" s="773" t="s">
        <v>17</v>
      </c>
      <c r="U24" s="774">
        <f>H24</f>
        <v>100</v>
      </c>
      <c r="V24" s="773" t="s">
        <v>17</v>
      </c>
      <c r="W24" s="774">
        <f>J24</f>
        <v>100</v>
      </c>
      <c r="X24" s="1810"/>
      <c r="Y24" s="3263"/>
      <c r="Z24" s="1811">
        <f>Q24</f>
        <v>111</v>
      </c>
      <c r="AA24" s="1808">
        <f t="shared" si="3"/>
        <v>1</v>
      </c>
      <c r="AB24" s="1808">
        <f t="shared" si="4"/>
        <v>1</v>
      </c>
      <c r="AC24" s="1808">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263"/>
      <c r="Q25" s="1792">
        <f t="shared" si="11"/>
        <v>111</v>
      </c>
      <c r="R25" s="769" t="s">
        <v>17</v>
      </c>
      <c r="S25" s="770">
        <f>F25</f>
        <v>100</v>
      </c>
      <c r="T25" s="769" t="s">
        <v>17</v>
      </c>
      <c r="U25" s="770">
        <f>H25</f>
        <v>100</v>
      </c>
      <c r="V25" s="769" t="s">
        <v>17</v>
      </c>
      <c r="W25" s="770">
        <f>J25</f>
        <v>100</v>
      </c>
      <c r="X25" s="771"/>
      <c r="Y25" s="3263"/>
      <c r="Z25" s="55">
        <f>Q25</f>
        <v>111</v>
      </c>
      <c r="AA25" s="1808">
        <f>D25/F25</f>
        <v>1</v>
      </c>
      <c r="AB25" s="1808">
        <f>D25/H25</f>
        <v>1</v>
      </c>
      <c r="AC25" s="1808">
        <f>D25/J25</f>
        <v>1</v>
      </c>
    </row>
    <row r="26" spans="1:29" ht="15">
      <c r="A26" s="465" t="s">
        <v>2521</v>
      </c>
      <c r="B26" s="71" t="s">
        <v>2672</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286" t="s">
        <v>2523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67" t="s">
        <v>2523</v>
      </c>
      <c r="Z26" s="1811" t="str">
        <f t="shared" ref="Z26:Z34" si="15">Q26</f>
        <v>公共部分装修</v>
      </c>
      <c r="AA26" s="1808">
        <f t="shared" si="3"/>
        <v>1</v>
      </c>
      <c r="AB26" s="1808">
        <f t="shared" si="4"/>
        <v>1</v>
      </c>
      <c r="AC26" s="1808">
        <f t="shared" si="5"/>
        <v>1</v>
      </c>
    </row>
    <row r="27" spans="1:29" s="470" customFormat="1" ht="15">
      <c r="A27" s="467"/>
      <c r="B27" s="421" t="s">
        <v>2673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67"/>
      <c r="Q27" s="775" t="str">
        <f t="shared" si="11"/>
        <v>成新率</v>
      </c>
      <c r="R27" s="776" t="s">
        <v>17</v>
      </c>
      <c r="S27" s="777" t="e">
        <f t="shared" si="12"/>
        <v>#N/A</v>
      </c>
      <c r="T27" s="776" t="s">
        <v>17</v>
      </c>
      <c r="U27" s="777" t="e">
        <f t="shared" si="13"/>
        <v>#N/A</v>
      </c>
      <c r="V27" s="776" t="s">
        <v>17</v>
      </c>
      <c r="W27" s="777" t="e">
        <f t="shared" si="14"/>
        <v>#N/A</v>
      </c>
      <c r="X27" s="778"/>
      <c r="Y27" s="3267"/>
      <c r="Z27" s="779" t="str">
        <f t="shared" si="15"/>
        <v>成新率</v>
      </c>
      <c r="AA27" s="1808" t="e">
        <f t="shared" si="3"/>
        <v>#N/A</v>
      </c>
      <c r="AB27" s="1808" t="e">
        <f t="shared" si="4"/>
        <v>#N/A</v>
      </c>
      <c r="AC27" s="1808" t="e">
        <f t="shared" si="5"/>
        <v>#N/A</v>
      </c>
    </row>
    <row r="28" spans="1:29" ht="15">
      <c r="A28" s="471"/>
      <c r="B28" s="421" t="s">
        <v>2674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67"/>
      <c r="Q28" s="1807" t="str">
        <f t="shared" si="11"/>
        <v>物业等级</v>
      </c>
      <c r="R28" s="773" t="s">
        <v>17</v>
      </c>
      <c r="S28" s="774">
        <f t="shared" si="12"/>
        <v>100</v>
      </c>
      <c r="T28" s="773" t="s">
        <v>17</v>
      </c>
      <c r="U28" s="774">
        <f t="shared" si="13"/>
        <v>100</v>
      </c>
      <c r="V28" s="773" t="s">
        <v>17</v>
      </c>
      <c r="W28" s="774">
        <f t="shared" si="14"/>
        <v>100</v>
      </c>
      <c r="X28" s="1810"/>
      <c r="Y28" s="3267"/>
      <c r="Z28" s="1811" t="str">
        <f t="shared" si="15"/>
        <v>物业等级</v>
      </c>
      <c r="AA28" s="1808">
        <f t="shared" si="3"/>
        <v>1</v>
      </c>
      <c r="AB28" s="1808">
        <f t="shared" si="4"/>
        <v>1</v>
      </c>
      <c r="AC28" s="1808">
        <f t="shared" si="5"/>
        <v>1</v>
      </c>
    </row>
    <row r="29" spans="1:29" ht="15">
      <c r="A29" s="471"/>
      <c r="B29" s="421" t="s">
        <v>2695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67"/>
      <c r="Q29" s="1807" t="str">
        <f t="shared" si="11"/>
        <v>有无电梯</v>
      </c>
      <c r="R29" s="773" t="s">
        <v>17</v>
      </c>
      <c r="S29" s="774">
        <f t="shared" si="12"/>
        <v>100</v>
      </c>
      <c r="T29" s="773" t="s">
        <v>17</v>
      </c>
      <c r="U29" s="774">
        <f t="shared" si="13"/>
        <v>100</v>
      </c>
      <c r="V29" s="773" t="s">
        <v>17</v>
      </c>
      <c r="W29" s="774">
        <f t="shared" si="14"/>
        <v>100</v>
      </c>
      <c r="X29" s="1810"/>
      <c r="Y29" s="3267"/>
      <c r="Z29" s="1811" t="str">
        <f t="shared" si="15"/>
        <v>有无电梯</v>
      </c>
      <c r="AA29" s="1808">
        <f t="shared" si="3"/>
        <v>1</v>
      </c>
      <c r="AB29" s="1808">
        <f t="shared" si="4"/>
        <v>1</v>
      </c>
      <c r="AC29" s="1808">
        <f t="shared" si="5"/>
        <v>1</v>
      </c>
    </row>
    <row r="30" spans="1:29" ht="15">
      <c r="A30" s="471"/>
      <c r="B30" s="421" t="s">
        <v>2696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67"/>
      <c r="Q30" s="1807" t="str">
        <f t="shared" si="11"/>
        <v>建筑面积</v>
      </c>
      <c r="R30" s="773" t="s">
        <v>17</v>
      </c>
      <c r="S30" s="774" t="e">
        <f t="shared" si="12"/>
        <v>#N/A</v>
      </c>
      <c r="T30" s="773" t="s">
        <v>17</v>
      </c>
      <c r="U30" s="774" t="e">
        <f t="shared" si="13"/>
        <v>#N/A</v>
      </c>
      <c r="V30" s="773" t="s">
        <v>17</v>
      </c>
      <c r="W30" s="774" t="e">
        <f t="shared" si="14"/>
        <v>#N/A</v>
      </c>
      <c r="X30" s="1810"/>
      <c r="Y30" s="3267"/>
      <c r="Z30" s="1811" t="str">
        <f t="shared" si="15"/>
        <v>建筑面积</v>
      </c>
      <c r="AA30" s="1808" t="e">
        <f t="shared" si="3"/>
        <v>#N/A</v>
      </c>
      <c r="AB30" s="1808" t="e">
        <f t="shared" si="4"/>
        <v>#N/A</v>
      </c>
      <c r="AC30" s="1808" t="e">
        <f t="shared" si="5"/>
        <v>#N/A</v>
      </c>
    </row>
    <row r="31" spans="1:29" s="117" customFormat="1" ht="15">
      <c r="A31" s="472"/>
      <c r="B31" s="421" t="s">
        <v>2697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67"/>
      <c r="Q31" s="1792" t="str">
        <f t="shared" si="11"/>
        <v>是否封闭</v>
      </c>
      <c r="R31" s="769" t="s">
        <v>17</v>
      </c>
      <c r="S31" s="770">
        <f t="shared" si="12"/>
        <v>100</v>
      </c>
      <c r="T31" s="769" t="s">
        <v>17</v>
      </c>
      <c r="U31" s="770">
        <f t="shared" si="13"/>
        <v>100</v>
      </c>
      <c r="V31" s="769" t="s">
        <v>17</v>
      </c>
      <c r="W31" s="770">
        <f t="shared" si="14"/>
        <v>100</v>
      </c>
      <c r="X31" s="771"/>
      <c r="Y31" s="3267"/>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67" t="s">
        <v>2523</v>
      </c>
      <c r="Q32" s="1807">
        <f t="shared" si="11"/>
        <v>111</v>
      </c>
      <c r="R32" s="773" t="s">
        <v>17</v>
      </c>
      <c r="S32" s="774">
        <f t="shared" si="12"/>
        <v>100</v>
      </c>
      <c r="T32" s="773" t="s">
        <v>17</v>
      </c>
      <c r="U32" s="774">
        <f t="shared" si="13"/>
        <v>100</v>
      </c>
      <c r="V32" s="773" t="s">
        <v>17</v>
      </c>
      <c r="W32" s="774">
        <f t="shared" si="14"/>
        <v>100</v>
      </c>
      <c r="X32" s="1810"/>
      <c r="Y32" s="3267" t="s">
        <v>2523</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67"/>
      <c r="Q33" s="1807">
        <f t="shared" si="11"/>
        <v>111</v>
      </c>
      <c r="R33" s="773" t="s">
        <v>17</v>
      </c>
      <c r="S33" s="774">
        <f t="shared" si="12"/>
        <v>100</v>
      </c>
      <c r="T33" s="773" t="s">
        <v>17</v>
      </c>
      <c r="U33" s="774">
        <f t="shared" si="13"/>
        <v>100</v>
      </c>
      <c r="V33" s="773" t="s">
        <v>17</v>
      </c>
      <c r="W33" s="774">
        <f t="shared" si="14"/>
        <v>100</v>
      </c>
      <c r="X33" s="1810"/>
      <c r="Y33" s="3267"/>
      <c r="Z33" s="1811">
        <f t="shared" si="15"/>
        <v>111</v>
      </c>
      <c r="AA33" s="1808">
        <f t="shared" si="3"/>
        <v>1</v>
      </c>
      <c r="AB33" s="1808">
        <f t="shared" si="4"/>
        <v>1</v>
      </c>
      <c r="AC33" s="1808">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67"/>
      <c r="Q34" s="1807">
        <f t="shared" si="11"/>
        <v>111</v>
      </c>
      <c r="R34" s="773" t="s">
        <v>17</v>
      </c>
      <c r="S34" s="774">
        <f t="shared" si="12"/>
        <v>100</v>
      </c>
      <c r="T34" s="773" t="s">
        <v>17</v>
      </c>
      <c r="U34" s="774">
        <f t="shared" si="13"/>
        <v>100</v>
      </c>
      <c r="V34" s="773" t="s">
        <v>17</v>
      </c>
      <c r="W34" s="774">
        <f t="shared" si="14"/>
        <v>100</v>
      </c>
      <c r="X34" s="1810"/>
      <c r="Y34" s="3267"/>
      <c r="Z34" s="1811">
        <f t="shared" si="15"/>
        <v>111</v>
      </c>
      <c r="AA34" s="1808">
        <f t="shared" si="3"/>
        <v>1</v>
      </c>
      <c r="AB34" s="1808">
        <f t="shared" si="4"/>
        <v>1</v>
      </c>
      <c r="AC34" s="1808">
        <f t="shared" si="5"/>
        <v>1</v>
      </c>
    </row>
    <row r="35" spans="1:29" ht="15">
      <c r="A35" s="478" t="s">
        <v>2535</v>
      </c>
      <c r="B35" s="479"/>
      <c r="C35" s="1404" t="s">
        <v>1</v>
      </c>
      <c r="D35" s="1405"/>
      <c r="E35" s="1406"/>
      <c r="F35" s="1407"/>
      <c r="G35" s="1408"/>
      <c r="H35" s="1409"/>
      <c r="I35" s="1406"/>
      <c r="J35" s="1409"/>
      <c r="K35" s="782"/>
      <c r="L35" s="1140"/>
      <c r="M35" s="1141"/>
      <c r="N35" s="1128"/>
      <c r="O35" s="1141"/>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75" thickBot="1">
      <c r="A36" s="485" t="s">
        <v>2627</v>
      </c>
      <c r="B36" s="486"/>
      <c r="C36" s="1410" t="e">
        <f>R37</f>
        <v>#DIV/0!</v>
      </c>
      <c r="D36" s="1411"/>
      <c r="E36" s="1412" t="e">
        <f>R36</f>
        <v>#DIV/0!</v>
      </c>
      <c r="F36" s="1412"/>
      <c r="G36" s="1410" t="e">
        <f>T36</f>
        <v>#DIV/0!</v>
      </c>
      <c r="H36" s="1411"/>
      <c r="I36" s="1412" t="e">
        <f>V36</f>
        <v>#DIV/0!</v>
      </c>
      <c r="J36" s="1411"/>
      <c r="K36" s="783"/>
      <c r="L36" s="1140"/>
      <c r="M36" s="1141"/>
      <c r="N36" s="1128"/>
      <c r="O36" s="1141"/>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75" thickBot="1">
      <c r="A37" s="491" t="s">
        <v>2628</v>
      </c>
      <c r="B37" s="492"/>
      <c r="C37" s="1414" t="e">
        <f>R37</f>
        <v>#DIV/0!</v>
      </c>
      <c r="D37" s="1414"/>
      <c r="E37" s="1414"/>
      <c r="F37" s="1414"/>
      <c r="G37" s="1414"/>
      <c r="H37" s="1414"/>
      <c r="I37" s="1414"/>
      <c r="J37" s="1414"/>
      <c r="K37" s="784"/>
      <c r="L37" s="1140"/>
      <c r="M37" s="1141"/>
      <c r="N37" s="1141"/>
      <c r="O37" s="1141"/>
      <c r="P37" s="3257" t="str">
        <f>A37</f>
        <v>估价对象XX用房的比较价值（楼面单价，元/平方米）</v>
      </c>
      <c r="Q37" s="3258"/>
      <c r="R37" s="3259" t="e">
        <f>IF(F1="售价",ROUND(AVERAGE(R36:V36),0),ROUND(AVERAGE(R36:V36),1))</f>
        <v>#DIV/0!</v>
      </c>
      <c r="S37" s="3259"/>
      <c r="T37" s="3259"/>
      <c r="U37" s="3259"/>
      <c r="V37" s="3259"/>
      <c r="W37" s="3259"/>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2629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2630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2631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2632</v>
      </c>
      <c r="B45" s="758"/>
      <c r="C45" s="763"/>
      <c r="D45" s="763"/>
      <c r="E45" s="763"/>
      <c r="F45" s="764"/>
      <c r="G45" s="764"/>
      <c r="H45" s="763"/>
      <c r="I45" s="763"/>
      <c r="J45" s="763"/>
      <c r="K45" s="765"/>
      <c r="L45" s="766"/>
      <c r="M45" s="763"/>
      <c r="N45" s="763"/>
      <c r="O45" s="763"/>
      <c r="P45" s="502"/>
      <c r="Q45" s="503"/>
    </row>
    <row r="46" spans="1:29" s="507" customFormat="1" ht="15">
      <c r="A46" s="504" t="s">
        <v>2506</v>
      </c>
      <c r="B46" s="505"/>
      <c r="C46" s="1571" t="str">
        <f>YEAR(C7)&amp;"-"&amp;MONTH(C7)</f>
        <v>2018-3</v>
      </c>
      <c r="D46" s="1572">
        <f>EDATE(C46,-1)</f>
        <v>43132</v>
      </c>
      <c r="E46" s="1572">
        <f t="shared" ref="E46:O46" si="16">EDATE(D46,-1)</f>
        <v>43101</v>
      </c>
      <c r="F46" s="1572">
        <f t="shared" si="16"/>
        <v>43070</v>
      </c>
      <c r="G46" s="1572">
        <f t="shared" si="16"/>
        <v>43040</v>
      </c>
      <c r="H46" s="1572">
        <f t="shared" si="16"/>
        <v>43009</v>
      </c>
      <c r="I46" s="1572">
        <f t="shared" si="16"/>
        <v>42979</v>
      </c>
      <c r="J46" s="1572">
        <f t="shared" si="16"/>
        <v>42948</v>
      </c>
      <c r="K46" s="1572">
        <f t="shared" si="16"/>
        <v>42917</v>
      </c>
      <c r="L46" s="1572">
        <f t="shared" si="16"/>
        <v>42887</v>
      </c>
      <c r="M46" s="1572">
        <f t="shared" si="16"/>
        <v>42856</v>
      </c>
      <c r="N46" s="1572">
        <f t="shared" si="16"/>
        <v>42826</v>
      </c>
      <c r="O46" s="1572">
        <f t="shared" si="16"/>
        <v>42795</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2543</v>
      </c>
      <c r="B48" s="515"/>
      <c r="C48" s="516"/>
      <c r="D48" s="517"/>
      <c r="E48" s="517"/>
      <c r="F48" s="517"/>
      <c r="G48" s="517"/>
      <c r="H48" s="517"/>
      <c r="I48" s="517"/>
      <c r="J48" s="517"/>
      <c r="K48" s="517"/>
      <c r="L48" s="517"/>
      <c r="M48" s="518"/>
      <c r="N48" s="517"/>
      <c r="O48" s="519"/>
      <c r="P48" s="503"/>
      <c r="Q48" s="503"/>
    </row>
    <row r="49" spans="1:17" s="117" customFormat="1" ht="15">
      <c r="A49" s="520" t="s">
        <v>2508</v>
      </c>
      <c r="B49" s="509"/>
      <c r="C49" s="521" t="s">
        <v>2610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2546</v>
      </c>
      <c r="B51" s="527" t="s">
        <v>2512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2515</v>
      </c>
      <c r="C53" s="538" t="s">
        <v>2547</v>
      </c>
      <c r="D53" s="538" t="s">
        <v>2548</v>
      </c>
      <c r="E53" s="538" t="s">
        <v>2549</v>
      </c>
      <c r="F53" s="538" t="s">
        <v>2550</v>
      </c>
      <c r="G53" s="538" t="s">
        <v>2551</v>
      </c>
      <c r="H53" s="538" t="s">
        <v>2552</v>
      </c>
      <c r="I53" s="538" t="s">
        <v>2553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2517</v>
      </c>
      <c r="B61" s="527" t="s">
        <v>2560</v>
      </c>
      <c r="C61" s="572" t="s">
        <v>2555</v>
      </c>
      <c r="D61" s="572" t="s">
        <v>2556</v>
      </c>
      <c r="E61" s="572" t="s">
        <v>2557</v>
      </c>
      <c r="F61" s="572" t="s">
        <v>2558</v>
      </c>
      <c r="G61" s="572" t="s">
        <v>2559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2698</v>
      </c>
      <c r="C63" s="577" t="s">
        <v>2555</v>
      </c>
      <c r="D63" s="577" t="s">
        <v>2556</v>
      </c>
      <c r="E63" s="577" t="s">
        <v>2557</v>
      </c>
      <c r="F63" s="577" t="s">
        <v>2558</v>
      </c>
      <c r="G63" s="577" t="s">
        <v>2559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2647</v>
      </c>
      <c r="C65" s="659" t="s">
        <v>2633</v>
      </c>
      <c r="D65" s="659" t="s">
        <v>2634</v>
      </c>
      <c r="E65" s="659" t="s">
        <v>2635</v>
      </c>
      <c r="F65" s="659" t="s">
        <v>2636</v>
      </c>
      <c r="G65" s="659" t="s">
        <v>2637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2567</v>
      </c>
      <c r="C67" s="577" t="s">
        <v>2555</v>
      </c>
      <c r="D67" s="577" t="s">
        <v>2556</v>
      </c>
      <c r="E67" s="577" t="s">
        <v>2557</v>
      </c>
      <c r="F67" s="577" t="s">
        <v>2558</v>
      </c>
      <c r="G67" s="577" t="s">
        <v>2559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2687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2521</v>
      </c>
      <c r="B77" s="527" t="s">
        <v>2574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2690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2691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2699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2700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2701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2702</v>
      </c>
      <c r="B1" s="394"/>
      <c r="C1" s="395" t="s">
        <v>2703</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2285</v>
      </c>
      <c r="B2" s="670" t="e">
        <f>F66</f>
        <v>#DIV/0!</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30"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30"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27"/>
      <c r="AC6" s="3227"/>
    </row>
    <row r="7" spans="1:30" s="117" customFormat="1" ht="15.75" thickBot="1">
      <c r="A7" s="407" t="s">
        <v>2506</v>
      </c>
      <c r="B7" s="408"/>
      <c r="C7" s="409">
        <f>'数据-取费表'!B2</f>
        <v>43164</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28"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772" t="e">
        <f>D7/J7</f>
        <v>#DIV/0!</v>
      </c>
    </row>
    <row r="8" spans="1:30" s="117" customFormat="1" ht="15.75" thickBot="1">
      <c r="A8" s="407" t="s">
        <v>2508</v>
      </c>
      <c r="B8" s="408"/>
      <c r="C8" s="413" t="s">
        <v>2509</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45" si="3">D8/F8</f>
        <v>#DIV/0!</v>
      </c>
      <c r="AB8" s="772" t="e">
        <f t="shared" ref="AB8:AB45" si="4">D8/H8</f>
        <v>#DIV/0!</v>
      </c>
      <c r="AC8" s="772" t="e">
        <f t="shared" ref="AC8:AC45" si="5">D8/J8</f>
        <v>#DIV/0!</v>
      </c>
    </row>
    <row r="9" spans="1:30" s="117" customFormat="1">
      <c r="A9" s="414" t="s">
        <v>2511</v>
      </c>
      <c r="B9" s="71" t="s">
        <v>2512</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60"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30" s="426" customFormat="1" ht="27">
      <c r="A10" s="420"/>
      <c r="B10" s="421" t="s">
        <v>2515</v>
      </c>
      <c r="C10" s="431"/>
      <c r="D10" s="135">
        <v>100</v>
      </c>
      <c r="E10" s="464"/>
      <c r="F10" s="135">
        <f>ROUND(100/'数据-取费表'!G16,0)</f>
        <v>114</v>
      </c>
      <c r="G10" s="462"/>
      <c r="H10" s="135">
        <f>ROUND(100/'数据-取费表'!G16,0)</f>
        <v>114</v>
      </c>
      <c r="I10" s="462"/>
      <c r="J10" s="135">
        <f>ROUND(100/'数据-取费表'!G16,0)</f>
        <v>114</v>
      </c>
      <c r="K10" s="671"/>
      <c r="L10" s="1132"/>
      <c r="M10" s="1133"/>
      <c r="N10" s="1133"/>
      <c r="O10" s="1134"/>
      <c r="P10" s="3260"/>
      <c r="Q10" s="1792" t="str">
        <f t="shared" si="6"/>
        <v>土地使用年限（年）</v>
      </c>
      <c r="R10" s="769" t="s">
        <v>17</v>
      </c>
      <c r="S10" s="770">
        <f t="shared" si="0"/>
        <v>114</v>
      </c>
      <c r="T10" s="769" t="s">
        <v>17</v>
      </c>
      <c r="U10" s="770">
        <f t="shared" si="1"/>
        <v>114</v>
      </c>
      <c r="V10" s="769" t="s">
        <v>17</v>
      </c>
      <c r="W10" s="770">
        <f t="shared" si="2"/>
        <v>114</v>
      </c>
      <c r="X10" s="771"/>
      <c r="Y10" s="3055"/>
      <c r="Z10" s="55" t="str">
        <f t="shared" si="7"/>
        <v>土地使用年限（年）</v>
      </c>
      <c r="AA10" s="772">
        <f t="shared" si="3"/>
        <v>0.8771929824561403</v>
      </c>
      <c r="AB10" s="772">
        <f t="shared" si="4"/>
        <v>0.8771929824561403</v>
      </c>
      <c r="AC10" s="772">
        <f t="shared" si="5"/>
        <v>0.8771929824561403</v>
      </c>
    </row>
    <row r="11" spans="1:30" ht="15">
      <c r="A11" s="427"/>
      <c r="B11" s="421" t="s">
        <v>2516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60"/>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30" s="117" customFormat="1" ht="15">
      <c r="A12" s="430"/>
      <c r="B12" s="2593" t="s">
        <v>2705</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60"/>
      <c r="Q12" s="1792"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60"/>
      <c r="Q14" s="1792">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15">
      <c r="A15" s="439" t="s">
        <v>2517</v>
      </c>
      <c r="B15" s="69" t="s">
        <v>2051</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62" t="s">
        <v>2518</v>
      </c>
      <c r="Q15" s="1807" t="str">
        <f t="shared" si="6"/>
        <v>居住社区成熟度</v>
      </c>
      <c r="R15" s="773" t="s">
        <v>17</v>
      </c>
      <c r="S15" s="774">
        <f t="shared" si="0"/>
        <v>100</v>
      </c>
      <c r="T15" s="773" t="s">
        <v>17</v>
      </c>
      <c r="U15" s="774">
        <f t="shared" si="1"/>
        <v>100</v>
      </c>
      <c r="V15" s="773" t="s">
        <v>17</v>
      </c>
      <c r="W15" s="774">
        <f t="shared" si="2"/>
        <v>100</v>
      </c>
      <c r="X15" s="1810"/>
      <c r="Y15" s="3262" t="s">
        <v>2518</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263"/>
      <c r="Q16" s="1807"/>
      <c r="R16" s="773"/>
      <c r="S16" s="774"/>
      <c r="T16" s="773"/>
      <c r="U16" s="774"/>
      <c r="V16" s="773"/>
      <c r="W16" s="774"/>
      <c r="X16" s="1810"/>
      <c r="Y16" s="3263"/>
      <c r="Z16" s="1811"/>
      <c r="AA16" s="1808">
        <v>1</v>
      </c>
      <c r="AB16" s="1808">
        <v>1</v>
      </c>
      <c r="AC16" s="1808">
        <v>1</v>
      </c>
    </row>
    <row r="17" spans="1:29" ht="71.25">
      <c r="A17" s="427"/>
      <c r="B17" s="450" t="s">
        <v>2611</v>
      </c>
      <c r="C17" s="2657" t="str">
        <f>估价对象房地状况!C16</f>
        <v>估价对象位于石景山，周边商业氛围成熟较好，人流量大，商业繁华度较好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63"/>
      <c r="Q17" s="1807" t="str">
        <f>B17</f>
        <v>商业繁华度</v>
      </c>
      <c r="R17" s="773" t="s">
        <v>17</v>
      </c>
      <c r="S17" s="774">
        <f>F17</f>
        <v>100</v>
      </c>
      <c r="T17" s="773" t="s">
        <v>17</v>
      </c>
      <c r="U17" s="774">
        <f>H17</f>
        <v>100</v>
      </c>
      <c r="V17" s="773" t="s">
        <v>17</v>
      </c>
      <c r="W17" s="774">
        <f>J17</f>
        <v>100</v>
      </c>
      <c r="X17" s="1810"/>
      <c r="Y17" s="3263"/>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263"/>
      <c r="Q18" s="1807"/>
      <c r="R18" s="773"/>
      <c r="S18" s="774"/>
      <c r="T18" s="773"/>
      <c r="U18" s="774"/>
      <c r="V18" s="773"/>
      <c r="W18" s="774"/>
      <c r="X18" s="1810"/>
      <c r="Y18" s="3263"/>
      <c r="Z18" s="1811"/>
      <c r="AA18" s="1808">
        <v>1</v>
      </c>
      <c r="AB18" s="1808">
        <v>1</v>
      </c>
      <c r="AC18" s="1808">
        <v>1</v>
      </c>
    </row>
    <row r="19" spans="1:29" ht="15">
      <c r="A19" s="427"/>
      <c r="B19" s="450" t="s">
        <v>2645</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63"/>
      <c r="Q19" s="1807" t="str">
        <f>B19</f>
        <v>办公集聚程度</v>
      </c>
      <c r="R19" s="773" t="s">
        <v>17</v>
      </c>
      <c r="S19" s="774">
        <f>F19</f>
        <v>100</v>
      </c>
      <c r="T19" s="773" t="s">
        <v>17</v>
      </c>
      <c r="U19" s="774">
        <f>H19</f>
        <v>100</v>
      </c>
      <c r="V19" s="773" t="s">
        <v>17</v>
      </c>
      <c r="W19" s="774">
        <f>J19</f>
        <v>100</v>
      </c>
      <c r="X19" s="1810"/>
      <c r="Y19" s="3263"/>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263"/>
      <c r="Q20" s="1807"/>
      <c r="R20" s="773"/>
      <c r="S20" s="774"/>
      <c r="T20" s="773"/>
      <c r="U20" s="774"/>
      <c r="V20" s="773"/>
      <c r="W20" s="774"/>
      <c r="X20" s="1810"/>
      <c r="Y20" s="3263"/>
      <c r="Z20" s="1811"/>
      <c r="AA20" s="1808">
        <v>1</v>
      </c>
      <c r="AB20" s="1808">
        <v>1</v>
      </c>
      <c r="AC20" s="1808">
        <v>1</v>
      </c>
    </row>
    <row r="21" spans="1:29" ht="85.5">
      <c r="A21" s="427"/>
      <c r="B21" s="450" t="s">
        <v>2667</v>
      </c>
      <c r="C21" s="2600" t="str">
        <f>估价对象房地状况!C18</f>
        <v>估价对象周边道路状况好、公共交通通达情况好、停车便捷程度好，综合评价交通便捷度较好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63"/>
      <c r="Q21" s="1807" t="str">
        <f>B21</f>
        <v>交通便捷度</v>
      </c>
      <c r="R21" s="773" t="s">
        <v>17</v>
      </c>
      <c r="S21" s="774">
        <f>F21</f>
        <v>100</v>
      </c>
      <c r="T21" s="773" t="s">
        <v>17</v>
      </c>
      <c r="U21" s="774">
        <f>H21</f>
        <v>100</v>
      </c>
      <c r="V21" s="773" t="s">
        <v>17</v>
      </c>
      <c r="W21" s="774">
        <f>J21</f>
        <v>100</v>
      </c>
      <c r="X21" s="1810"/>
      <c r="Y21" s="3263"/>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263"/>
      <c r="Q22" s="1807"/>
      <c r="R22" s="773"/>
      <c r="S22" s="774"/>
      <c r="T22" s="773"/>
      <c r="U22" s="774"/>
      <c r="V22" s="773"/>
      <c r="W22" s="774"/>
      <c r="X22" s="1810"/>
      <c r="Y22" s="3263"/>
      <c r="Z22" s="1811"/>
      <c r="AA22" s="1808">
        <v>1</v>
      </c>
      <c r="AB22" s="1808">
        <v>1</v>
      </c>
      <c r="AC22" s="1808">
        <v>1</v>
      </c>
    </row>
    <row r="23" spans="1:29" ht="15">
      <c r="A23" s="403"/>
      <c r="B23" s="450" t="s">
        <v>2706</v>
      </c>
      <c r="C23" s="1386" t="str">
        <f>估价对象房地状况!C19</f>
        <v>较一致</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63"/>
      <c r="Q23" s="1807" t="str">
        <f t="shared" ref="Q23:Q37" si="8">B23</f>
        <v>区域土地利用方向</v>
      </c>
      <c r="R23" s="773" t="s">
        <v>17</v>
      </c>
      <c r="S23" s="774">
        <f>F23</f>
        <v>100</v>
      </c>
      <c r="T23" s="773" t="s">
        <v>17</v>
      </c>
      <c r="U23" s="774">
        <f>H23</f>
        <v>100</v>
      </c>
      <c r="V23" s="773" t="s">
        <v>17</v>
      </c>
      <c r="W23" s="774">
        <f>J23</f>
        <v>100</v>
      </c>
      <c r="X23" s="1810"/>
      <c r="Y23" s="3263"/>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6"/>
      <c r="L24" s="1137"/>
      <c r="M24" s="1128"/>
      <c r="N24" s="1128"/>
      <c r="O24" s="1136"/>
      <c r="P24" s="3263"/>
      <c r="Q24" s="1807"/>
      <c r="R24" s="773"/>
      <c r="S24" s="774"/>
      <c r="T24" s="773"/>
      <c r="U24" s="774"/>
      <c r="V24" s="773"/>
      <c r="W24" s="774"/>
      <c r="X24" s="1810"/>
      <c r="Y24" s="3263"/>
      <c r="Z24" s="1811"/>
      <c r="AA24" s="1808"/>
      <c r="AB24" s="1808"/>
      <c r="AC24" s="1808"/>
    </row>
    <row r="25" spans="1:29" ht="57">
      <c r="A25" s="403"/>
      <c r="B25" s="1381" t="s">
        <v>2707</v>
      </c>
      <c r="C25" s="2657" t="str">
        <f>估价对象房地状况!C20</f>
        <v>区域自然环境及人文环境好；综合评价环境状况较好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63"/>
      <c r="Q25" s="1807" t="str">
        <f t="shared" si="8"/>
        <v>自然及人文环境状况</v>
      </c>
      <c r="R25" s="773" t="s">
        <v>17</v>
      </c>
      <c r="S25" s="774">
        <f>F25</f>
        <v>100</v>
      </c>
      <c r="T25" s="773" t="s">
        <v>17</v>
      </c>
      <c r="U25" s="774">
        <f>H25</f>
        <v>100</v>
      </c>
      <c r="V25" s="773" t="s">
        <v>17</v>
      </c>
      <c r="W25" s="774">
        <f>J25</f>
        <v>100</v>
      </c>
      <c r="X25" s="1810"/>
      <c r="Y25" s="3263"/>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263"/>
      <c r="Q26" s="1807"/>
      <c r="R26" s="773"/>
      <c r="S26" s="774"/>
      <c r="T26" s="773"/>
      <c r="U26" s="774"/>
      <c r="V26" s="773"/>
      <c r="W26" s="774"/>
      <c r="X26" s="1810"/>
      <c r="Y26" s="3263"/>
      <c r="Z26" s="1811"/>
      <c r="AA26" s="1808">
        <v>1</v>
      </c>
      <c r="AB26" s="1808">
        <v>1</v>
      </c>
      <c r="AC26" s="1808">
        <v>1</v>
      </c>
    </row>
    <row r="27" spans="1:29" s="117" customFormat="1" ht="42.75">
      <c r="A27" s="648"/>
      <c r="B27" s="1381" t="s">
        <v>2612</v>
      </c>
      <c r="C27" s="2600" t="str">
        <f>估价对象房地状况!C21</f>
        <v>估价对象所在区域公共配套设施齐备情况较好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63"/>
      <c r="Q27" s="1792" t="str">
        <f t="shared" si="8"/>
        <v>公共配套设施</v>
      </c>
      <c r="R27" s="769" t="s">
        <v>17</v>
      </c>
      <c r="S27" s="770">
        <f>F27</f>
        <v>100</v>
      </c>
      <c r="T27" s="769" t="s">
        <v>17</v>
      </c>
      <c r="U27" s="770">
        <f>H27</f>
        <v>100</v>
      </c>
      <c r="V27" s="769" t="s">
        <v>17</v>
      </c>
      <c r="W27" s="770">
        <f>J27</f>
        <v>100</v>
      </c>
      <c r="X27" s="771"/>
      <c r="Y27" s="3263"/>
      <c r="Z27" s="55" t="str">
        <f>Q27</f>
        <v>公共配套设施</v>
      </c>
      <c r="AA27" s="1808">
        <f>D27/F27</f>
        <v>1</v>
      </c>
      <c r="AB27" s="1808">
        <f>D27/H27</f>
        <v>1</v>
      </c>
      <c r="AC27" s="1808">
        <f>D27/J27</f>
        <v>1</v>
      </c>
    </row>
    <row r="28" spans="1:29" s="117" customFormat="1" ht="15">
      <c r="A28" s="648"/>
      <c r="B28" s="455"/>
      <c r="C28" s="2693"/>
      <c r="D28" s="447"/>
      <c r="E28" s="2604"/>
      <c r="F28" s="447"/>
      <c r="G28" s="2604"/>
      <c r="H28" s="447"/>
      <c r="I28" s="446"/>
      <c r="J28" s="447"/>
      <c r="K28" s="671"/>
      <c r="L28" s="1129"/>
      <c r="M28" s="1130"/>
      <c r="N28" s="1130"/>
      <c r="O28" s="1131"/>
      <c r="P28" s="3263"/>
      <c r="Q28" s="1792"/>
      <c r="R28" s="769"/>
      <c r="S28" s="770"/>
      <c r="T28" s="769"/>
      <c r="U28" s="770"/>
      <c r="V28" s="769"/>
      <c r="W28" s="770"/>
      <c r="X28" s="771"/>
      <c r="Y28" s="3263"/>
      <c r="Z28" s="55"/>
      <c r="AA28" s="1808">
        <v>1</v>
      </c>
      <c r="AB28" s="1808">
        <v>1</v>
      </c>
      <c r="AC28" s="1808">
        <v>1</v>
      </c>
    </row>
    <row r="29" spans="1:29" s="117" customFormat="1" ht="42.75">
      <c r="A29" s="648"/>
      <c r="B29" s="1381" t="s">
        <v>2613</v>
      </c>
      <c r="C29" s="2600"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63"/>
      <c r="Q29" s="1792" t="str">
        <f t="shared" ref="Q29" si="9">B29</f>
        <v>基础设施水平</v>
      </c>
      <c r="R29" s="769" t="s">
        <v>17</v>
      </c>
      <c r="S29" s="770">
        <f>F29</f>
        <v>100</v>
      </c>
      <c r="T29" s="769" t="s">
        <v>17</v>
      </c>
      <c r="U29" s="770">
        <f>H29</f>
        <v>100</v>
      </c>
      <c r="V29" s="769" t="s">
        <v>17</v>
      </c>
      <c r="W29" s="770">
        <f>J29</f>
        <v>100</v>
      </c>
      <c r="X29" s="771"/>
      <c r="Y29" s="3263"/>
      <c r="Z29" s="55" t="str">
        <f>Q29</f>
        <v>基础设施水平</v>
      </c>
      <c r="AA29" s="1808">
        <f>D29/F29</f>
        <v>1</v>
      </c>
      <c r="AB29" s="1808">
        <f>D29/H29</f>
        <v>1</v>
      </c>
      <c r="AC29" s="1808">
        <f>D29/J29</f>
        <v>1</v>
      </c>
    </row>
    <row r="30" spans="1:29" s="117" customFormat="1" ht="15">
      <c r="A30" s="648"/>
      <c r="B30" s="455"/>
      <c r="C30" s="2693"/>
      <c r="D30" s="447"/>
      <c r="E30" s="2694"/>
      <c r="F30" s="447"/>
      <c r="G30" s="2694"/>
      <c r="H30" s="447"/>
      <c r="I30" s="2694"/>
      <c r="J30" s="447"/>
      <c r="K30" s="671"/>
      <c r="L30" s="1129"/>
      <c r="M30" s="1130"/>
      <c r="N30" s="1130"/>
      <c r="O30" s="1131"/>
      <c r="P30" s="3263"/>
      <c r="Q30" s="1792"/>
      <c r="R30" s="769"/>
      <c r="S30" s="770"/>
      <c r="T30" s="769"/>
      <c r="U30" s="770"/>
      <c r="V30" s="769"/>
      <c r="W30" s="770"/>
      <c r="X30" s="771"/>
      <c r="Y30" s="3263"/>
      <c r="Z30" s="55"/>
      <c r="AA30" s="1808">
        <v>1</v>
      </c>
      <c r="AB30" s="1808">
        <v>1</v>
      </c>
      <c r="AC30" s="1808">
        <v>1</v>
      </c>
    </row>
    <row r="31" spans="1:29" ht="15">
      <c r="A31" s="427"/>
      <c r="B31" s="455" t="s">
        <v>2614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63"/>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63"/>
      <c r="Z31" s="1811" t="str">
        <f t="shared" ref="Z31:Z45" si="13">Q31</f>
        <v>临街状况</v>
      </c>
      <c r="AA31" s="1808">
        <f t="shared" si="3"/>
        <v>1</v>
      </c>
      <c r="AB31" s="1808">
        <f t="shared" si="4"/>
        <v>1</v>
      </c>
      <c r="AC31" s="1808">
        <f t="shared" si="5"/>
        <v>1</v>
      </c>
    </row>
    <row r="32" spans="1:29" ht="27">
      <c r="A32" s="427"/>
      <c r="B32" s="1381" t="s">
        <v>2649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63"/>
      <c r="Q32" s="1807" t="str">
        <f t="shared" si="8"/>
        <v>毗邻道路的类型与等级</v>
      </c>
      <c r="R32" s="773" t="s">
        <v>17</v>
      </c>
      <c r="S32" s="774">
        <f t="shared" si="10"/>
        <v>100</v>
      </c>
      <c r="T32" s="773" t="s">
        <v>17</v>
      </c>
      <c r="U32" s="774">
        <f t="shared" si="11"/>
        <v>100</v>
      </c>
      <c r="V32" s="773" t="s">
        <v>17</v>
      </c>
      <c r="W32" s="774">
        <f t="shared" si="12"/>
        <v>100</v>
      </c>
      <c r="X32" s="1810"/>
      <c r="Y32" s="3263"/>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263"/>
      <c r="Q33" s="1807"/>
      <c r="R33" s="773"/>
      <c r="S33" s="774"/>
      <c r="T33" s="773"/>
      <c r="U33" s="774"/>
      <c r="V33" s="773"/>
      <c r="W33" s="774"/>
      <c r="X33" s="1810"/>
      <c r="Y33" s="3263"/>
      <c r="Z33" s="1811"/>
      <c r="AA33" s="1808">
        <v>1</v>
      </c>
      <c r="AB33" s="1808">
        <v>1</v>
      </c>
      <c r="AC33" s="1808">
        <v>1</v>
      </c>
    </row>
    <row r="34" spans="1:29" ht="15">
      <c r="A34" s="427"/>
      <c r="B34" s="421" t="s">
        <v>2708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63"/>
      <c r="Q34" s="1807" t="str">
        <f t="shared" si="8"/>
        <v>土地级别</v>
      </c>
      <c r="R34" s="773" t="s">
        <v>17</v>
      </c>
      <c r="S34" s="774">
        <f t="shared" si="10"/>
        <v>100</v>
      </c>
      <c r="T34" s="773" t="s">
        <v>17</v>
      </c>
      <c r="U34" s="774">
        <f t="shared" si="11"/>
        <v>100</v>
      </c>
      <c r="V34" s="773" t="s">
        <v>17</v>
      </c>
      <c r="W34" s="774">
        <f t="shared" si="12"/>
        <v>100</v>
      </c>
      <c r="X34" s="1810"/>
      <c r="Y34" s="3263"/>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63"/>
      <c r="Q35" s="1807">
        <f t="shared" si="8"/>
        <v>111</v>
      </c>
      <c r="R35" s="773" t="s">
        <v>17</v>
      </c>
      <c r="S35" s="774">
        <f t="shared" si="10"/>
        <v>100</v>
      </c>
      <c r="T35" s="773" t="s">
        <v>17</v>
      </c>
      <c r="U35" s="774">
        <f t="shared" si="11"/>
        <v>100</v>
      </c>
      <c r="V35" s="773" t="s">
        <v>17</v>
      </c>
      <c r="W35" s="774">
        <f t="shared" si="12"/>
        <v>100</v>
      </c>
      <c r="X35" s="1810"/>
      <c r="Y35" s="3263"/>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86" t="s">
        <v>2523</v>
      </c>
      <c r="Q36" s="1807">
        <f t="shared" si="8"/>
        <v>111</v>
      </c>
      <c r="R36" s="773" t="s">
        <v>17</v>
      </c>
      <c r="S36" s="774">
        <f t="shared" si="10"/>
        <v>100</v>
      </c>
      <c r="T36" s="773" t="s">
        <v>17</v>
      </c>
      <c r="U36" s="774">
        <f t="shared" si="11"/>
        <v>100</v>
      </c>
      <c r="V36" s="773" t="s">
        <v>17</v>
      </c>
      <c r="W36" s="774">
        <f t="shared" si="12"/>
        <v>100</v>
      </c>
      <c r="X36" s="1810"/>
      <c r="Y36" s="3267" t="s">
        <v>2523</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67"/>
      <c r="Q37" s="1807">
        <f t="shared" si="8"/>
        <v>111</v>
      </c>
      <c r="R37" s="776" t="s">
        <v>17</v>
      </c>
      <c r="S37" s="777">
        <f t="shared" si="10"/>
        <v>100</v>
      </c>
      <c r="T37" s="776" t="s">
        <v>17</v>
      </c>
      <c r="U37" s="777">
        <f t="shared" si="11"/>
        <v>100</v>
      </c>
      <c r="V37" s="776" t="s">
        <v>17</v>
      </c>
      <c r="W37" s="777">
        <f t="shared" si="12"/>
        <v>100</v>
      </c>
      <c r="X37" s="778"/>
      <c r="Y37" s="3267"/>
      <c r="Z37" s="779">
        <f t="shared" si="13"/>
        <v>111</v>
      </c>
      <c r="AA37" s="1808">
        <f t="shared" si="3"/>
        <v>1</v>
      </c>
      <c r="AB37" s="1808">
        <f t="shared" si="4"/>
        <v>1</v>
      </c>
      <c r="AC37" s="1808">
        <f t="shared" si="5"/>
        <v>1</v>
      </c>
    </row>
    <row r="38" spans="1:29" ht="15">
      <c r="A38" s="471" t="s">
        <v>2521</v>
      </c>
      <c r="B38" s="455" t="s">
        <v>2709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67"/>
      <c r="Q38" s="1807" t="str">
        <f>B38</f>
        <v>宗地面积</v>
      </c>
      <c r="R38" s="773" t="s">
        <v>17</v>
      </c>
      <c r="S38" s="774" t="e">
        <f t="shared" si="10"/>
        <v>#N/A</v>
      </c>
      <c r="T38" s="773" t="s">
        <v>17</v>
      </c>
      <c r="U38" s="774" t="e">
        <f t="shared" si="11"/>
        <v>#N/A</v>
      </c>
      <c r="V38" s="773" t="s">
        <v>17</v>
      </c>
      <c r="W38" s="774" t="e">
        <f t="shared" si="12"/>
        <v>#N/A</v>
      </c>
      <c r="X38" s="1810"/>
      <c r="Y38" s="3267"/>
      <c r="Z38" s="1811" t="str">
        <f t="shared" si="13"/>
        <v>宗地面积</v>
      </c>
      <c r="AA38" s="1808" t="e">
        <f t="shared" si="3"/>
        <v>#N/A</v>
      </c>
      <c r="AB38" s="1808" t="e">
        <f t="shared" si="4"/>
        <v>#N/A</v>
      </c>
      <c r="AC38" s="1808" t="e">
        <f t="shared" si="5"/>
        <v>#N/A</v>
      </c>
    </row>
    <row r="39" spans="1:29" ht="15">
      <c r="A39" s="471"/>
      <c r="B39" s="421" t="s">
        <v>2710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67"/>
      <c r="Q39" s="1807" t="str">
        <f t="shared" ref="Q39:Q45" si="14">B39</f>
        <v>宗地形状</v>
      </c>
      <c r="R39" s="773" t="s">
        <v>17</v>
      </c>
      <c r="S39" s="774">
        <f t="shared" si="10"/>
        <v>100</v>
      </c>
      <c r="T39" s="773" t="s">
        <v>17</v>
      </c>
      <c r="U39" s="774">
        <f t="shared" si="11"/>
        <v>100</v>
      </c>
      <c r="V39" s="773" t="s">
        <v>17</v>
      </c>
      <c r="W39" s="774">
        <f t="shared" si="12"/>
        <v>100</v>
      </c>
      <c r="X39" s="1810"/>
      <c r="Y39" s="3267"/>
      <c r="Z39" s="1811" t="str">
        <f t="shared" si="13"/>
        <v>宗地形状</v>
      </c>
      <c r="AA39" s="1808">
        <f t="shared" si="3"/>
        <v>1</v>
      </c>
      <c r="AB39" s="1808">
        <f t="shared" si="4"/>
        <v>1</v>
      </c>
      <c r="AC39" s="1808">
        <f t="shared" si="5"/>
        <v>1</v>
      </c>
    </row>
    <row r="40" spans="1:29" ht="15">
      <c r="A40" s="471"/>
      <c r="B40" s="421" t="s">
        <v>2711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67"/>
      <c r="Q40" s="1807" t="str">
        <f t="shared" si="14"/>
        <v>临街宽度及深度</v>
      </c>
      <c r="R40" s="773" t="s">
        <v>17</v>
      </c>
      <c r="S40" s="774">
        <f t="shared" si="10"/>
        <v>100</v>
      </c>
      <c r="T40" s="773" t="s">
        <v>17</v>
      </c>
      <c r="U40" s="774">
        <f t="shared" si="11"/>
        <v>100</v>
      </c>
      <c r="V40" s="773" t="s">
        <v>17</v>
      </c>
      <c r="W40" s="774">
        <f t="shared" si="12"/>
        <v>100</v>
      </c>
      <c r="X40" s="1810"/>
      <c r="Y40" s="3267"/>
      <c r="Z40" s="1811" t="str">
        <f t="shared" si="13"/>
        <v>临街宽度及深度</v>
      </c>
      <c r="AA40" s="1808">
        <f t="shared" si="3"/>
        <v>1</v>
      </c>
      <c r="AB40" s="1808">
        <f t="shared" si="4"/>
        <v>1</v>
      </c>
      <c r="AC40" s="1808">
        <f t="shared" si="5"/>
        <v>1</v>
      </c>
    </row>
    <row r="41" spans="1:29" s="117" customFormat="1" ht="15">
      <c r="A41" s="472"/>
      <c r="B41" s="421" t="s">
        <v>2712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67"/>
      <c r="Q41" s="1807" t="str">
        <f t="shared" si="14"/>
        <v>宗地开发程度</v>
      </c>
      <c r="R41" s="769" t="s">
        <v>17</v>
      </c>
      <c r="S41" s="770">
        <f t="shared" si="10"/>
        <v>100</v>
      </c>
      <c r="T41" s="769" t="s">
        <v>17</v>
      </c>
      <c r="U41" s="770">
        <f t="shared" si="11"/>
        <v>100</v>
      </c>
      <c r="V41" s="769" t="s">
        <v>17</v>
      </c>
      <c r="W41" s="770">
        <f t="shared" si="12"/>
        <v>100</v>
      </c>
      <c r="X41" s="771"/>
      <c r="Y41" s="3267"/>
      <c r="Z41" s="55" t="str">
        <f t="shared" si="13"/>
        <v>宗地开发程度</v>
      </c>
      <c r="AA41" s="772">
        <f t="shared" si="3"/>
        <v>1</v>
      </c>
      <c r="AB41" s="772">
        <f t="shared" si="4"/>
        <v>1</v>
      </c>
      <c r="AC41" s="772">
        <f t="shared" si="5"/>
        <v>1</v>
      </c>
    </row>
    <row r="42" spans="1:29" ht="15">
      <c r="A42" s="471"/>
      <c r="B42" s="421" t="s">
        <v>2713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67" t="s">
        <v>2523</v>
      </c>
      <c r="Q42" s="1807" t="str">
        <f t="shared" si="14"/>
        <v>工程地质条件</v>
      </c>
      <c r="R42" s="773" t="s">
        <v>17</v>
      </c>
      <c r="S42" s="774">
        <f t="shared" si="10"/>
        <v>100</v>
      </c>
      <c r="T42" s="773" t="s">
        <v>17</v>
      </c>
      <c r="U42" s="774">
        <f t="shared" si="11"/>
        <v>100</v>
      </c>
      <c r="V42" s="773" t="s">
        <v>17</v>
      </c>
      <c r="W42" s="774">
        <f t="shared" si="12"/>
        <v>100</v>
      </c>
      <c r="X42" s="1810"/>
      <c r="Y42" s="3267" t="s">
        <v>2523</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67"/>
      <c r="Q43" s="1807">
        <f t="shared" si="14"/>
        <v>111</v>
      </c>
      <c r="R43" s="773" t="s">
        <v>17</v>
      </c>
      <c r="S43" s="774">
        <f t="shared" si="10"/>
        <v>100</v>
      </c>
      <c r="T43" s="773" t="s">
        <v>17</v>
      </c>
      <c r="U43" s="774">
        <f t="shared" si="11"/>
        <v>100</v>
      </c>
      <c r="V43" s="773" t="s">
        <v>17</v>
      </c>
      <c r="W43" s="774">
        <f t="shared" si="12"/>
        <v>100</v>
      </c>
      <c r="X43" s="1810"/>
      <c r="Y43" s="3267"/>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67"/>
      <c r="Q44" s="1807">
        <f t="shared" si="14"/>
        <v>111</v>
      </c>
      <c r="R44" s="773" t="s">
        <v>17</v>
      </c>
      <c r="S44" s="774">
        <f t="shared" si="10"/>
        <v>100</v>
      </c>
      <c r="T44" s="773" t="s">
        <v>17</v>
      </c>
      <c r="U44" s="774">
        <f t="shared" si="11"/>
        <v>100</v>
      </c>
      <c r="V44" s="773" t="s">
        <v>17</v>
      </c>
      <c r="W44" s="774">
        <f t="shared" si="12"/>
        <v>100</v>
      </c>
      <c r="X44" s="1810"/>
      <c r="Y44" s="3267"/>
      <c r="Z44" s="1811">
        <f t="shared" si="13"/>
        <v>111</v>
      </c>
      <c r="AA44" s="1808">
        <f t="shared" si="3"/>
        <v>1</v>
      </c>
      <c r="AB44" s="1808">
        <f t="shared" si="4"/>
        <v>1</v>
      </c>
      <c r="AC44" s="1808">
        <f t="shared" si="5"/>
        <v>1</v>
      </c>
    </row>
    <row r="45" spans="1:29" s="470" customFormat="1" ht="15.75"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67"/>
      <c r="Q45" s="1807">
        <f t="shared" si="14"/>
        <v>111</v>
      </c>
      <c r="R45" s="776" t="s">
        <v>17</v>
      </c>
      <c r="S45" s="777">
        <f t="shared" si="10"/>
        <v>100</v>
      </c>
      <c r="T45" s="776" t="s">
        <v>17</v>
      </c>
      <c r="U45" s="777">
        <f t="shared" si="11"/>
        <v>100</v>
      </c>
      <c r="V45" s="776" t="s">
        <v>17</v>
      </c>
      <c r="W45" s="777">
        <f t="shared" si="12"/>
        <v>100</v>
      </c>
      <c r="X45" s="778"/>
      <c r="Y45" s="3267"/>
      <c r="Z45" s="779">
        <f t="shared" si="13"/>
        <v>111</v>
      </c>
      <c r="AA45" s="1808">
        <f t="shared" si="3"/>
        <v>1</v>
      </c>
      <c r="AB45" s="1808">
        <f t="shared" si="4"/>
        <v>1</v>
      </c>
      <c r="AC45" s="1808">
        <f t="shared" si="5"/>
        <v>1</v>
      </c>
    </row>
    <row r="46" spans="1:29" ht="15">
      <c r="A46" s="478" t="s">
        <v>2678</v>
      </c>
      <c r="B46" s="2697" t="s">
        <v>2714</v>
      </c>
      <c r="C46" s="681" t="s">
        <v>1</v>
      </c>
      <c r="D46" s="480"/>
      <c r="E46" s="481"/>
      <c r="F46" s="482"/>
      <c r="G46" s="483"/>
      <c r="H46" s="484"/>
      <c r="I46" s="481"/>
      <c r="J46" s="484"/>
      <c r="K46" s="782"/>
      <c r="L46" s="1140"/>
      <c r="M46" s="1141"/>
      <c r="N46" s="1128"/>
      <c r="O46" s="1141"/>
      <c r="P46" s="3260" t="str">
        <f>A46</f>
        <v>成交单价</v>
      </c>
      <c r="Q46" s="3260"/>
      <c r="R46" s="3255">
        <f>E46</f>
        <v>0</v>
      </c>
      <c r="S46" s="3255"/>
      <c r="T46" s="3255">
        <f>G46</f>
        <v>0</v>
      </c>
      <c r="U46" s="3255"/>
      <c r="V46" s="3255">
        <f>I46</f>
        <v>0</v>
      </c>
      <c r="W46" s="3255"/>
      <c r="X46" s="758"/>
      <c r="Y46" s="780"/>
      <c r="Z46" s="758"/>
      <c r="AA46" s="758"/>
      <c r="AB46" s="758"/>
      <c r="AC46" s="758"/>
    </row>
    <row r="47" spans="1:29" ht="15.75" thickBot="1">
      <c r="A47" s="485" t="s">
        <v>2627</v>
      </c>
      <c r="B47" s="682"/>
      <c r="C47" s="489" t="e">
        <f>R48</f>
        <v>#DIV/0!</v>
      </c>
      <c r="D47" s="488"/>
      <c r="E47" s="489" t="e">
        <f>R47</f>
        <v>#DIV/0!</v>
      </c>
      <c r="F47" s="490"/>
      <c r="G47" s="487" t="e">
        <f>T47</f>
        <v>#DIV/0!</v>
      </c>
      <c r="H47" s="488"/>
      <c r="I47" s="489" t="e">
        <f>V47</f>
        <v>#DIV/0!</v>
      </c>
      <c r="J47" s="488"/>
      <c r="K47" s="783"/>
      <c r="L47" s="1140"/>
      <c r="M47" s="1141"/>
      <c r="N47" s="1141"/>
      <c r="O47" s="1141"/>
      <c r="P47" s="3260" t="str">
        <f>A47</f>
        <v>比较价值（元/平方米）</v>
      </c>
      <c r="Q47" s="3260"/>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1" t="s">
        <v>2715</v>
      </c>
      <c r="B48" s="492"/>
      <c r="C48" s="493" t="e">
        <f>R48</f>
        <v>#DIV/0!</v>
      </c>
      <c r="D48" s="493"/>
      <c r="E48" s="493"/>
      <c r="F48" s="493"/>
      <c r="G48" s="493"/>
      <c r="H48" s="493"/>
      <c r="I48" s="493"/>
      <c r="J48" s="493"/>
      <c r="K48" s="784"/>
      <c r="L48" s="1140"/>
      <c r="M48" s="1141"/>
      <c r="N48" s="1141"/>
      <c r="O48" s="1141"/>
      <c r="P48" s="3257" t="str">
        <f>A48</f>
        <v>估价对象XX用房的比较价值（楼面单价，元/平方米）</v>
      </c>
      <c r="Q48" s="3258"/>
      <c r="R48" s="3288" t="e">
        <f>ROUND(AVERAGE(R47:V47),0)</f>
        <v>#DIV/0!</v>
      </c>
      <c r="S48" s="3288"/>
      <c r="T48" s="3288"/>
      <c r="U48" s="3288"/>
      <c r="V48" s="3288"/>
      <c r="W48" s="3288"/>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2629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2630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2631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2716</v>
      </c>
      <c r="B55" s="684" t="s">
        <v>2717</v>
      </c>
      <c r="C55" s="2698" t="s">
        <v>2718</v>
      </c>
      <c r="D55" s="2699" t="s">
        <v>2719</v>
      </c>
      <c r="E55" s="685" t="s">
        <v>2720</v>
      </c>
      <c r="F55" s="1104" t="s">
        <v>2721</v>
      </c>
      <c r="G55" s="3243" t="s">
        <v>2722</v>
      </c>
      <c r="H55" s="3289"/>
      <c r="I55" s="143" t="s">
        <v>2723</v>
      </c>
      <c r="J55" s="2700">
        <f>项目基本情况!F35</f>
        <v>0</v>
      </c>
      <c r="K55" s="2701" t="s">
        <v>2724</v>
      </c>
      <c r="L55" s="1103"/>
      <c r="M55" s="1141"/>
      <c r="N55" s="1141"/>
      <c r="O55" s="1141"/>
    </row>
    <row r="56" spans="1:15" s="691" customFormat="1">
      <c r="A56" s="687" t="s">
        <v>2725</v>
      </c>
      <c r="B56" s="688" t="e">
        <f>C48</f>
        <v>#DIV/0!</v>
      </c>
      <c r="C56" s="689">
        <v>1</v>
      </c>
      <c r="D56" s="1160">
        <v>1</v>
      </c>
      <c r="E56" s="689">
        <f>'数据-汇总表'!E8+'数据-汇总表'!E9</f>
        <v>75088.649999999994</v>
      </c>
      <c r="F56" s="1100" t="e">
        <f t="shared" ref="F56:F65" si="15">ROUND(B56*E56/10000,0)</f>
        <v>#DIV/0!</v>
      </c>
      <c r="G56" s="3242"/>
      <c r="H56" s="3260"/>
      <c r="I56" s="1105">
        <v>1</v>
      </c>
      <c r="J56" s="1108">
        <v>1</v>
      </c>
      <c r="K56" s="1142"/>
      <c r="L56" s="938"/>
      <c r="M56" s="938"/>
      <c r="N56" s="938"/>
      <c r="O56" s="938"/>
    </row>
    <row r="57" spans="1:15" s="691" customFormat="1">
      <c r="A57" s="692" t="s">
        <v>2726</v>
      </c>
      <c r="B57" s="261" t="e">
        <f>ROUND($C$48*C57*D57,0)</f>
        <v>#DIV/0!</v>
      </c>
      <c r="C57" s="199">
        <f t="shared" ref="C57:C65" si="16">IF($C$55="北京市系数",I57,J57)</f>
        <v>0.7</v>
      </c>
      <c r="D57" s="1161">
        <v>0.25</v>
      </c>
      <c r="E57" s="693"/>
      <c r="F57" s="1100" t="e">
        <f t="shared" si="15"/>
        <v>#DIV/0!</v>
      </c>
      <c r="G57" s="3290" t="s">
        <v>2727</v>
      </c>
      <c r="H57" s="1101" t="str">
        <f>项目基本情况!B37</f>
        <v>五级</v>
      </c>
      <c r="I57" s="1105">
        <f>SUMIF(修正!A45:A56,H57,修正!B45:B56)</f>
        <v>0.7</v>
      </c>
      <c r="J57" s="1109"/>
      <c r="K57" s="1141"/>
      <c r="L57" s="938"/>
      <c r="M57" s="938"/>
      <c r="N57" s="938"/>
      <c r="O57" s="938"/>
    </row>
    <row r="58" spans="1:15" s="691" customFormat="1">
      <c r="A58" s="692" t="s">
        <v>2728</v>
      </c>
      <c r="B58" s="261" t="e">
        <f t="shared" ref="B58:B65" si="17">ROUND($C$48*C58*D58,0)</f>
        <v>#DIV/0!</v>
      </c>
      <c r="C58" s="199">
        <f t="shared" si="16"/>
        <v>0.4</v>
      </c>
      <c r="D58" s="1161">
        <v>0.25</v>
      </c>
      <c r="E58" s="693"/>
      <c r="F58" s="1100" t="e">
        <f t="shared" si="15"/>
        <v>#DIV/0!</v>
      </c>
      <c r="G58" s="3290"/>
      <c r="H58" s="1101" t="str">
        <f>项目基本情况!B37</f>
        <v>五级</v>
      </c>
      <c r="I58" s="1105">
        <f>SUMIF(修正!A45:A56,H58,修正!C45:C56)</f>
        <v>0.4</v>
      </c>
      <c r="J58" s="1109"/>
      <c r="K58" s="1142"/>
      <c r="L58" s="938"/>
      <c r="M58" s="938"/>
      <c r="N58" s="938"/>
      <c r="O58" s="938"/>
    </row>
    <row r="59" spans="1:15" s="691" customFormat="1">
      <c r="A59" s="692" t="s">
        <v>2729</v>
      </c>
      <c r="B59" s="261" t="e">
        <f t="shared" si="17"/>
        <v>#DIV/0!</v>
      </c>
      <c r="C59" s="199">
        <f t="shared" si="16"/>
        <v>0.28000000000000003</v>
      </c>
      <c r="D59" s="1161">
        <v>0.25</v>
      </c>
      <c r="E59" s="693"/>
      <c r="F59" s="1100" t="e">
        <f t="shared" si="15"/>
        <v>#DIV/0!</v>
      </c>
      <c r="G59" s="3290"/>
      <c r="H59" s="1101" t="str">
        <f>项目基本情况!B37</f>
        <v>五级</v>
      </c>
      <c r="I59" s="1105">
        <f>SUMIF(修正!A45:A56,H59,修正!D45:D56)</f>
        <v>0.28000000000000003</v>
      </c>
      <c r="J59" s="1109"/>
      <c r="K59" s="1141"/>
      <c r="L59" s="938"/>
      <c r="M59" s="938"/>
      <c r="N59" s="938"/>
      <c r="O59" s="938"/>
    </row>
    <row r="60" spans="1:15" s="691" customFormat="1">
      <c r="A60" s="692" t="s">
        <v>2730</v>
      </c>
      <c r="B60" s="261" t="e">
        <f t="shared" si="17"/>
        <v>#DIV/0!</v>
      </c>
      <c r="C60" s="199">
        <f t="shared" si="16"/>
        <v>0.25</v>
      </c>
      <c r="D60" s="1161">
        <v>0.25</v>
      </c>
      <c r="E60" s="693"/>
      <c r="F60" s="1100" t="e">
        <f t="shared" si="15"/>
        <v>#DIV/0!</v>
      </c>
      <c r="G60" s="3290"/>
      <c r="H60" s="1101" t="str">
        <f>项目基本情况!B37</f>
        <v>五级</v>
      </c>
      <c r="I60" s="1105">
        <f>SUMIF(修正!A45:A56,H60,修正!E45:E56)</f>
        <v>0.25</v>
      </c>
      <c r="J60" s="1109"/>
      <c r="K60" s="1142"/>
      <c r="L60" s="938"/>
      <c r="M60" s="938"/>
      <c r="N60" s="938"/>
      <c r="O60" s="938"/>
    </row>
    <row r="61" spans="1:15" s="691" customFormat="1">
      <c r="A61" s="692" t="s">
        <v>2731</v>
      </c>
      <c r="B61" s="261" t="e">
        <f t="shared" si="17"/>
        <v>#DIV/0!</v>
      </c>
      <c r="C61" s="199">
        <f t="shared" si="16"/>
        <v>0</v>
      </c>
      <c r="D61" s="1161">
        <v>0.25</v>
      </c>
      <c r="E61" s="260">
        <f>'数据-汇总表'!E11</f>
        <v>0</v>
      </c>
      <c r="F61" s="1100" t="e">
        <f t="shared" si="15"/>
        <v>#DIV/0!</v>
      </c>
      <c r="G61" s="2702" t="s">
        <v>2732</v>
      </c>
      <c r="H61" s="1101">
        <f>项目基本情况!C37</f>
        <v>0</v>
      </c>
      <c r="I61" s="1105">
        <f>SUMIF(修正!A45:A56,H61,修正!F45:F56)</f>
        <v>0</v>
      </c>
      <c r="J61" s="1109"/>
      <c r="K61" s="1141"/>
      <c r="L61" s="938"/>
      <c r="M61" s="938"/>
      <c r="N61" s="938"/>
      <c r="O61" s="938"/>
    </row>
    <row r="62" spans="1:15" s="691" customFormat="1">
      <c r="A62" s="692" t="s">
        <v>2733</v>
      </c>
      <c r="B62" s="261" t="e">
        <f t="shared" si="17"/>
        <v>#DIV/0!</v>
      </c>
      <c r="C62" s="199">
        <f t="shared" si="16"/>
        <v>0</v>
      </c>
      <c r="D62" s="1161">
        <v>0.25</v>
      </c>
      <c r="E62" s="260">
        <f>'数据-汇总表'!E12</f>
        <v>0</v>
      </c>
      <c r="F62" s="1100" t="e">
        <f t="shared" si="15"/>
        <v>#DIV/0!</v>
      </c>
      <c r="G62" s="1106" t="s">
        <v>2734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2735</v>
      </c>
      <c r="B63" s="261" t="e">
        <f t="shared" si="17"/>
        <v>#DIV/0!</v>
      </c>
      <c r="C63" s="199">
        <f t="shared" si="16"/>
        <v>0</v>
      </c>
      <c r="D63" s="1161">
        <v>0.25</v>
      </c>
      <c r="E63" s="260">
        <f>'数据-汇总表'!E13</f>
        <v>17186.37</v>
      </c>
      <c r="F63" s="1100" t="e">
        <f t="shared" si="15"/>
        <v>#DIV/0!</v>
      </c>
      <c r="G63" s="1106" t="s">
        <v>2736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2737</v>
      </c>
      <c r="B64" s="261" t="e">
        <f t="shared" si="17"/>
        <v>#DIV/0!</v>
      </c>
      <c r="C64" s="199">
        <f t="shared" si="16"/>
        <v>0.2</v>
      </c>
      <c r="D64" s="1161">
        <v>0.25</v>
      </c>
      <c r="E64" s="260">
        <f>'数据-汇总表'!E14</f>
        <v>0</v>
      </c>
      <c r="F64" s="1100" t="e">
        <f t="shared" si="15"/>
        <v>#DIV/0!</v>
      </c>
      <c r="G64" s="2702" t="s">
        <v>2727</v>
      </c>
      <c r="H64" s="1101" t="str">
        <f>项目基本情况!B37</f>
        <v>五级</v>
      </c>
      <c r="I64" s="1105">
        <f>SUMIF(修正!A45:A56,H64,修正!H45:H56)</f>
        <v>0.2</v>
      </c>
      <c r="J64" s="1109"/>
      <c r="K64" s="1142"/>
      <c r="L64" s="938"/>
      <c r="M64" s="938"/>
      <c r="N64" s="938"/>
      <c r="O64" s="938"/>
    </row>
    <row r="65" spans="1:17" s="691" customFormat="1" ht="15" thickBot="1">
      <c r="A65" s="692" t="s">
        <v>2738</v>
      </c>
      <c r="B65" s="261" t="e">
        <f t="shared" si="17"/>
        <v>#DIV/0!</v>
      </c>
      <c r="C65" s="199">
        <f t="shared" si="16"/>
        <v>0</v>
      </c>
      <c r="D65" s="1161">
        <v>0.25</v>
      </c>
      <c r="E65" s="260">
        <f>'数据-汇总表'!E15</f>
        <v>0</v>
      </c>
      <c r="F65" s="1100" t="e">
        <f t="shared" si="15"/>
        <v>#DIV/0!</v>
      </c>
      <c r="G65" s="2703" t="s">
        <v>2732</v>
      </c>
      <c r="H65" s="1111">
        <f>项目基本情况!C37</f>
        <v>0</v>
      </c>
      <c r="I65" s="1107">
        <f>SUMIF(修正!A45:A56,H65,修正!H45:H56)</f>
        <v>0</v>
      </c>
      <c r="J65" s="1110"/>
      <c r="K65" s="1141"/>
      <c r="L65" s="938"/>
      <c r="M65" s="938"/>
      <c r="N65" s="938"/>
      <c r="O65" s="938"/>
    </row>
    <row r="66" spans="1:17" s="691" customFormat="1" ht="13.5" thickBot="1">
      <c r="A66" s="694" t="s">
        <v>2739</v>
      </c>
      <c r="B66" s="695" t="s">
        <v>28</v>
      </c>
      <c r="C66" s="695" t="s">
        <v>29</v>
      </c>
      <c r="D66" s="695" t="s">
        <v>1029</v>
      </c>
      <c r="E66" s="695">
        <f>IF(B46="楼面地价",SUM(E56:E65),'数据-汇总表'!D3)</f>
        <v>92275.01999999999</v>
      </c>
      <c r="F66" s="696" t="e">
        <f>IF(B46="楼面地价",SUM(F56:F65),ROUND(C48*E66/10000,0))</f>
        <v>#DIV/0!</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2632</v>
      </c>
      <c r="B69" s="758"/>
      <c r="C69" s="763"/>
      <c r="D69" s="763"/>
      <c r="E69" s="763"/>
      <c r="F69" s="764"/>
      <c r="G69" s="764"/>
      <c r="H69" s="763"/>
      <c r="I69" s="763"/>
      <c r="J69" s="1156"/>
      <c r="K69" s="1157"/>
      <c r="L69" s="1158"/>
      <c r="M69" s="1156"/>
      <c r="N69" s="1156"/>
      <c r="O69" s="1156"/>
      <c r="P69" s="502"/>
      <c r="Q69" s="503"/>
    </row>
    <row r="70" spans="1:17" s="507" customFormat="1" ht="15">
      <c r="A70" s="2704" t="s">
        <v>2740</v>
      </c>
      <c r="B70" s="1356"/>
      <c r="C70" s="1569" t="str">
        <f>YEAR(C68)&amp;"-"&amp;ROUNDUP(MONTH(C68)/3,0)</f>
        <v>2018-1</v>
      </c>
      <c r="D70" s="1569" t="str">
        <f>YEAR(D68)&amp;"-"&amp;ROUNDUP(MONTH(D68)/3,0)</f>
        <v>2017-4</v>
      </c>
      <c r="E70" s="1569" t="str">
        <f t="shared" ref="E70:O70" si="19">YEAR(E68)&amp;"-"&amp;ROUNDUP(MONTH(E68)/3,0)</f>
        <v>2017-3</v>
      </c>
      <c r="F70" s="1569" t="str">
        <f t="shared" si="19"/>
        <v>2017-2</v>
      </c>
      <c r="G70" s="1569" t="str">
        <f t="shared" si="19"/>
        <v>2017-1</v>
      </c>
      <c r="H70" s="1569" t="str">
        <f t="shared" si="19"/>
        <v>2016-4</v>
      </c>
      <c r="I70" s="1569" t="str">
        <f t="shared" si="19"/>
        <v>2016-3</v>
      </c>
      <c r="J70" s="1569" t="str">
        <f t="shared" si="19"/>
        <v>2016-2</v>
      </c>
      <c r="K70" s="1569" t="str">
        <f t="shared" si="19"/>
        <v>2016-1</v>
      </c>
      <c r="L70" s="1569" t="str">
        <f t="shared" si="19"/>
        <v>2015-4</v>
      </c>
      <c r="M70" s="1569" t="str">
        <f t="shared" si="19"/>
        <v>2015-3</v>
      </c>
      <c r="N70" s="1569" t="str">
        <f t="shared" si="19"/>
        <v>2015-2</v>
      </c>
      <c r="O70" s="1569" t="str">
        <f t="shared" si="19"/>
        <v>2015-1</v>
      </c>
      <c r="P70" s="506"/>
    </row>
    <row r="71" spans="1:17" s="117" customFormat="1" ht="30" customHeight="1">
      <c r="A71" s="2705" t="s">
        <v>2741</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4"/>
      <c r="N71" s="594"/>
      <c r="O71" s="1565"/>
      <c r="P71" s="503"/>
    </row>
    <row r="72" spans="1:17" s="117" customFormat="1" ht="15.75" thickBot="1">
      <c r="A72" s="514" t="s">
        <v>2543</v>
      </c>
      <c r="B72" s="515"/>
      <c r="C72" s="516"/>
      <c r="D72" s="517"/>
      <c r="E72" s="517"/>
      <c r="F72" s="517"/>
      <c r="G72" s="517"/>
      <c r="H72" s="517"/>
      <c r="I72" s="517"/>
      <c r="J72" s="517"/>
      <c r="K72" s="517"/>
      <c r="L72" s="517"/>
      <c r="M72" s="518"/>
      <c r="N72" s="517"/>
      <c r="O72" s="1159"/>
      <c r="P72" s="503"/>
      <c r="Q72" s="503"/>
    </row>
    <row r="73" spans="1:17" s="117" customFormat="1" ht="15">
      <c r="A73" s="520" t="s">
        <v>2508</v>
      </c>
      <c r="B73" s="509"/>
      <c r="C73" s="521" t="s">
        <v>2610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2546</v>
      </c>
      <c r="B75" s="527" t="s">
        <v>2512</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2515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2516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2517</v>
      </c>
      <c r="B88" s="527" t="s">
        <v>2554</v>
      </c>
      <c r="C88" s="572" t="s">
        <v>2555</v>
      </c>
      <c r="D88" s="572" t="s">
        <v>2556</v>
      </c>
      <c r="E88" s="572" t="s">
        <v>2557</v>
      </c>
      <c r="F88" s="572" t="s">
        <v>2558</v>
      </c>
      <c r="G88" s="572" t="s">
        <v>2559</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2742</v>
      </c>
      <c r="C90" s="577" t="s">
        <v>2555</v>
      </c>
      <c r="D90" s="577" t="s">
        <v>2556</v>
      </c>
      <c r="E90" s="577" t="s">
        <v>2557</v>
      </c>
      <c r="F90" s="577" t="s">
        <v>2558</v>
      </c>
      <c r="G90" s="577" t="s">
        <v>2559</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2655</v>
      </c>
      <c r="C92" s="577" t="s">
        <v>2555</v>
      </c>
      <c r="D92" s="577" t="s">
        <v>2556</v>
      </c>
      <c r="E92" s="577" t="s">
        <v>2557</v>
      </c>
      <c r="F92" s="577" t="s">
        <v>2558</v>
      </c>
      <c r="G92" s="577" t="s">
        <v>2559</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2560</v>
      </c>
      <c r="C94" s="577" t="s">
        <v>2555</v>
      </c>
      <c r="D94" s="577" t="s">
        <v>2556</v>
      </c>
      <c r="E94" s="577" t="s">
        <v>2557</v>
      </c>
      <c r="F94" s="577" t="s">
        <v>2558</v>
      </c>
      <c r="G94" s="577" t="s">
        <v>2559</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7" customFormat="1" ht="15.75" thickTop="1">
      <c r="A96" s="578"/>
      <c r="B96" s="537" t="s">
        <v>2743</v>
      </c>
      <c r="C96" s="577" t="s">
        <v>2555</v>
      </c>
      <c r="D96" s="577" t="s">
        <v>2556</v>
      </c>
      <c r="E96" s="577" t="s">
        <v>2557</v>
      </c>
      <c r="F96" s="577" t="s">
        <v>2558</v>
      </c>
      <c r="G96" s="577" t="s">
        <v>2559</v>
      </c>
      <c r="H96" s="577"/>
      <c r="I96" s="577"/>
      <c r="J96" s="577"/>
      <c r="K96" s="577"/>
      <c r="L96" s="697"/>
      <c r="M96" s="621"/>
      <c r="N96" s="1148"/>
      <c r="O96" s="1148"/>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7" customFormat="1" ht="27.75" thickTop="1">
      <c r="A98" s="578"/>
      <c r="B98" s="537" t="s">
        <v>2744</v>
      </c>
      <c r="C98" s="572" t="s">
        <v>2555</v>
      </c>
      <c r="D98" s="572" t="s">
        <v>2556</v>
      </c>
      <c r="E98" s="572" t="s">
        <v>2557</v>
      </c>
      <c r="F98" s="572" t="s">
        <v>2558</v>
      </c>
      <c r="G98" s="572" t="s">
        <v>2559</v>
      </c>
      <c r="H98" s="577"/>
      <c r="I98" s="577"/>
      <c r="J98" s="577"/>
      <c r="K98" s="577"/>
      <c r="L98" s="577"/>
      <c r="M98" s="621"/>
      <c r="N98" s="1148"/>
      <c r="O98" s="1148"/>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2612</v>
      </c>
      <c r="C100" s="572" t="s">
        <v>2555</v>
      </c>
      <c r="D100" s="572" t="s">
        <v>2556</v>
      </c>
      <c r="E100" s="572" t="s">
        <v>2557</v>
      </c>
      <c r="F100" s="572" t="s">
        <v>2558</v>
      </c>
      <c r="G100" s="572" t="s">
        <v>2559</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2613</v>
      </c>
      <c r="C102" s="659" t="s">
        <v>2633</v>
      </c>
      <c r="D102" s="659" t="s">
        <v>2634</v>
      </c>
      <c r="E102" s="659" t="s">
        <v>2635</v>
      </c>
      <c r="F102" s="659" t="s">
        <v>2636</v>
      </c>
      <c r="G102" s="659" t="s">
        <v>2637</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2745</v>
      </c>
      <c r="D104" s="538" t="s">
        <v>2746</v>
      </c>
      <c r="E104" s="538" t="s">
        <v>2747</v>
      </c>
      <c r="F104" s="538" t="s">
        <v>2748</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2649</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2708</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2521</v>
      </c>
      <c r="B116" s="527" t="s">
        <v>2749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2750</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2751</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2752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2753</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2702</v>
      </c>
      <c r="B1" s="394"/>
      <c r="C1" s="395" t="s">
        <v>2754</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2285</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91" t="s">
        <v>2755</v>
      </c>
      <c r="D6" s="3292"/>
      <c r="E6" s="3293" t="s">
        <v>2755</v>
      </c>
      <c r="F6" s="3294"/>
      <c r="G6" s="3291" t="s">
        <v>2755</v>
      </c>
      <c r="H6" s="3292"/>
      <c r="I6" s="3291" t="s">
        <v>2755</v>
      </c>
      <c r="J6" s="3292"/>
      <c r="K6" s="609"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28"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772" t="e">
        <f>D7/J7</f>
        <v>#DIV/0!</v>
      </c>
    </row>
    <row r="8" spans="1:29" s="117" customFormat="1" ht="15.75" thickBot="1">
      <c r="A8" s="407" t="s">
        <v>2508</v>
      </c>
      <c r="B8" s="408"/>
      <c r="C8" s="413" t="s">
        <v>2509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40" si="3">D8/F8</f>
        <v>#DIV/0!</v>
      </c>
      <c r="AB8" s="772" t="e">
        <f t="shared" ref="AB8:AB40" si="4">D8/H8</f>
        <v>#DIV/0!</v>
      </c>
      <c r="AC8" s="772" t="e">
        <f t="shared" ref="AC8:AC40" si="5">D8/J8</f>
        <v>#DIV/0!</v>
      </c>
    </row>
    <row r="9" spans="1:29" s="117" customFormat="1">
      <c r="A9" s="414" t="s">
        <v>2511</v>
      </c>
      <c r="B9" s="71" t="s">
        <v>2512</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60"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29" s="426" customFormat="1" ht="27">
      <c r="A10" s="420"/>
      <c r="B10" s="421" t="s">
        <v>2515</v>
      </c>
      <c r="C10" s="431"/>
      <c r="D10" s="135">
        <v>100</v>
      </c>
      <c r="E10" s="431"/>
      <c r="F10" s="135">
        <f>ROUND(100/'数据-取费表'!G16,0)</f>
        <v>114</v>
      </c>
      <c r="G10" s="431"/>
      <c r="H10" s="135">
        <f>ROUND(100/'数据-取费表'!G16,0)</f>
        <v>114</v>
      </c>
      <c r="I10" s="431"/>
      <c r="J10" s="135">
        <f>ROUND(100/'数据-取费表'!G16,0)</f>
        <v>114</v>
      </c>
      <c r="K10" s="671"/>
      <c r="L10" s="1132"/>
      <c r="M10" s="1133"/>
      <c r="N10" s="1133"/>
      <c r="O10" s="1134"/>
      <c r="P10" s="3260"/>
      <c r="Q10" s="1792" t="str">
        <f t="shared" si="6"/>
        <v>土地使用年限（年）</v>
      </c>
      <c r="R10" s="769" t="s">
        <v>17</v>
      </c>
      <c r="S10" s="770">
        <f t="shared" si="0"/>
        <v>114</v>
      </c>
      <c r="T10" s="769" t="s">
        <v>17</v>
      </c>
      <c r="U10" s="770">
        <f t="shared" si="1"/>
        <v>114</v>
      </c>
      <c r="V10" s="769" t="s">
        <v>17</v>
      </c>
      <c r="W10" s="770">
        <f t="shared" si="2"/>
        <v>114</v>
      </c>
      <c r="X10" s="771"/>
      <c r="Y10" s="3055"/>
      <c r="Z10" s="55" t="str">
        <f t="shared" si="7"/>
        <v>土地使用年限（年）</v>
      </c>
      <c r="AA10" s="772">
        <f t="shared" si="3"/>
        <v>0.8771929824561403</v>
      </c>
      <c r="AB10" s="772">
        <f t="shared" si="4"/>
        <v>0.8771929824561403</v>
      </c>
      <c r="AC10" s="772">
        <f t="shared" si="5"/>
        <v>0.8771929824561403</v>
      </c>
    </row>
    <row r="11" spans="1:29" ht="15">
      <c r="A11" s="427"/>
      <c r="B11" s="421" t="s">
        <v>2516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60"/>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60"/>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60"/>
      <c r="Q14" s="1792">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15">
      <c r="A15" s="439" t="s">
        <v>2517</v>
      </c>
      <c r="B15" s="628" t="s">
        <v>2756</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62" t="s">
        <v>2518</v>
      </c>
      <c r="Q15" s="1807" t="str">
        <f t="shared" si="6"/>
        <v>产业集聚程度</v>
      </c>
      <c r="R15" s="773" t="s">
        <v>17</v>
      </c>
      <c r="S15" s="774">
        <f t="shared" si="0"/>
        <v>100</v>
      </c>
      <c r="T15" s="773" t="s">
        <v>17</v>
      </c>
      <c r="U15" s="774">
        <f t="shared" si="1"/>
        <v>100</v>
      </c>
      <c r="V15" s="773" t="s">
        <v>17</v>
      </c>
      <c r="W15" s="774">
        <f t="shared" si="2"/>
        <v>100</v>
      </c>
      <c r="X15" s="1810"/>
      <c r="Y15" s="3262" t="s">
        <v>2518</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263"/>
      <c r="Q16" s="1807"/>
      <c r="R16" s="773"/>
      <c r="S16" s="774"/>
      <c r="T16" s="773"/>
      <c r="U16" s="774"/>
      <c r="V16" s="773"/>
      <c r="W16" s="774"/>
      <c r="X16" s="1810"/>
      <c r="Y16" s="3263"/>
      <c r="Z16" s="1811"/>
      <c r="AA16" s="1808">
        <v>1</v>
      </c>
      <c r="AB16" s="1808">
        <v>1</v>
      </c>
      <c r="AC16" s="1808">
        <v>1</v>
      </c>
    </row>
    <row r="17" spans="1:29" ht="15">
      <c r="A17" s="427"/>
      <c r="B17" s="630" t="s">
        <v>2667</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63"/>
      <c r="Q17" s="1807" t="str">
        <f>B17</f>
        <v>交通便捷度</v>
      </c>
      <c r="R17" s="773" t="s">
        <v>17</v>
      </c>
      <c r="S17" s="774">
        <f>F17</f>
        <v>100</v>
      </c>
      <c r="T17" s="773" t="s">
        <v>17</v>
      </c>
      <c r="U17" s="774">
        <f>H17</f>
        <v>100</v>
      </c>
      <c r="V17" s="773" t="s">
        <v>17</v>
      </c>
      <c r="W17" s="774">
        <f>J17</f>
        <v>100</v>
      </c>
      <c r="X17" s="1810"/>
      <c r="Y17" s="3263"/>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263"/>
      <c r="Q18" s="1807"/>
      <c r="R18" s="773"/>
      <c r="S18" s="774"/>
      <c r="T18" s="773"/>
      <c r="U18" s="774"/>
      <c r="V18" s="773"/>
      <c r="W18" s="774"/>
      <c r="X18" s="1810"/>
      <c r="Y18" s="3263"/>
      <c r="Z18" s="1811"/>
      <c r="AA18" s="1808">
        <v>1</v>
      </c>
      <c r="AB18" s="1808">
        <v>1</v>
      </c>
      <c r="AC18" s="1808">
        <v>1</v>
      </c>
    </row>
    <row r="19" spans="1:29" ht="15">
      <c r="A19" s="427"/>
      <c r="B19" s="630" t="s">
        <v>2706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63"/>
      <c r="Q19" s="1807" t="str">
        <f t="shared" ref="Q19:Q33" si="8">B19</f>
        <v>区域土地利用方向</v>
      </c>
      <c r="R19" s="773" t="s">
        <v>17</v>
      </c>
      <c r="S19" s="774">
        <f>F19</f>
        <v>100</v>
      </c>
      <c r="T19" s="773" t="s">
        <v>17</v>
      </c>
      <c r="U19" s="774">
        <f>H19</f>
        <v>100</v>
      </c>
      <c r="V19" s="773" t="s">
        <v>17</v>
      </c>
      <c r="W19" s="774">
        <f>J19</f>
        <v>100</v>
      </c>
      <c r="X19" s="1810"/>
      <c r="Y19" s="3263"/>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6"/>
      <c r="L20" s="1137"/>
      <c r="M20" s="1128"/>
      <c r="N20" s="1128"/>
      <c r="O20" s="1136"/>
      <c r="P20" s="3263"/>
      <c r="Q20" s="1807"/>
      <c r="R20" s="773"/>
      <c r="S20" s="774"/>
      <c r="T20" s="773"/>
      <c r="U20" s="774"/>
      <c r="V20" s="773"/>
      <c r="W20" s="774"/>
      <c r="X20" s="1810"/>
      <c r="Y20" s="3263"/>
      <c r="Z20" s="1811"/>
      <c r="AA20" s="1808"/>
      <c r="AB20" s="1808"/>
      <c r="AC20" s="1808"/>
    </row>
    <row r="21" spans="1:29" ht="15">
      <c r="A21" s="403"/>
      <c r="B21" s="630" t="s">
        <v>2757</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63"/>
      <c r="Q21" s="1807" t="str">
        <f t="shared" si="8"/>
        <v>环境状况</v>
      </c>
      <c r="R21" s="773" t="s">
        <v>17</v>
      </c>
      <c r="S21" s="774">
        <f>F21</f>
        <v>100</v>
      </c>
      <c r="T21" s="773" t="s">
        <v>17</v>
      </c>
      <c r="U21" s="774">
        <f>H21</f>
        <v>100</v>
      </c>
      <c r="V21" s="773" t="s">
        <v>17</v>
      </c>
      <c r="W21" s="774">
        <f>J21</f>
        <v>100</v>
      </c>
      <c r="X21" s="1810"/>
      <c r="Y21" s="3263"/>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263"/>
      <c r="Q22" s="1807"/>
      <c r="R22" s="773"/>
      <c r="S22" s="774"/>
      <c r="T22" s="773"/>
      <c r="U22" s="774"/>
      <c r="V22" s="773"/>
      <c r="W22" s="774"/>
      <c r="X22" s="1810"/>
      <c r="Y22" s="3263"/>
      <c r="Z22" s="1811"/>
      <c r="AA22" s="1808">
        <v>1</v>
      </c>
      <c r="AB22" s="1808">
        <v>1</v>
      </c>
      <c r="AC22" s="1808">
        <v>1</v>
      </c>
    </row>
    <row r="23" spans="1:29" s="117" customFormat="1" ht="15">
      <c r="A23" s="648"/>
      <c r="B23" s="632" t="s">
        <v>2612</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63"/>
      <c r="Q23" s="1792" t="str">
        <f t="shared" si="8"/>
        <v>公共配套设施</v>
      </c>
      <c r="R23" s="769" t="s">
        <v>17</v>
      </c>
      <c r="S23" s="770">
        <f>F23</f>
        <v>100</v>
      </c>
      <c r="T23" s="769" t="s">
        <v>17</v>
      </c>
      <c r="U23" s="770">
        <f>H23</f>
        <v>100</v>
      </c>
      <c r="V23" s="769" t="s">
        <v>17</v>
      </c>
      <c r="W23" s="770">
        <f>J23</f>
        <v>100</v>
      </c>
      <c r="X23" s="771"/>
      <c r="Y23" s="3263"/>
      <c r="Z23" s="55" t="str">
        <f>Q23</f>
        <v>公共配套设施</v>
      </c>
      <c r="AA23" s="1808">
        <f>D23/F23</f>
        <v>1</v>
      </c>
      <c r="AB23" s="1808">
        <f>D23/H23</f>
        <v>1</v>
      </c>
      <c r="AC23" s="1808">
        <f>D23/J23</f>
        <v>1</v>
      </c>
    </row>
    <row r="24" spans="1:29" s="117" customFormat="1" ht="15">
      <c r="A24" s="648"/>
      <c r="B24" s="631"/>
      <c r="C24" s="2693"/>
      <c r="D24" s="447"/>
      <c r="E24" s="2604"/>
      <c r="F24" s="447"/>
      <c r="G24" s="2604"/>
      <c r="H24" s="447"/>
      <c r="I24" s="446"/>
      <c r="J24" s="447"/>
      <c r="K24" s="671"/>
      <c r="L24" s="1129"/>
      <c r="M24" s="1130"/>
      <c r="N24" s="1130"/>
      <c r="O24" s="1131"/>
      <c r="P24" s="3263"/>
      <c r="Q24" s="1792"/>
      <c r="R24" s="769"/>
      <c r="S24" s="770"/>
      <c r="T24" s="769"/>
      <c r="U24" s="770"/>
      <c r="V24" s="769"/>
      <c r="W24" s="770"/>
      <c r="X24" s="771"/>
      <c r="Y24" s="3263"/>
      <c r="Z24" s="55"/>
      <c r="AA24" s="772">
        <v>1</v>
      </c>
      <c r="AB24" s="772">
        <v>1</v>
      </c>
      <c r="AC24" s="772">
        <v>1</v>
      </c>
    </row>
    <row r="25" spans="1:29" s="117" customFormat="1" ht="15">
      <c r="A25" s="648"/>
      <c r="B25" s="632" t="s">
        <v>2613</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63"/>
      <c r="Q25" s="1792" t="str">
        <f t="shared" ref="Q25" si="9">B25</f>
        <v>基础设施水平</v>
      </c>
      <c r="R25" s="769" t="s">
        <v>17</v>
      </c>
      <c r="S25" s="770">
        <f>F25</f>
        <v>100</v>
      </c>
      <c r="T25" s="769" t="s">
        <v>17</v>
      </c>
      <c r="U25" s="770">
        <f>H25</f>
        <v>100</v>
      </c>
      <c r="V25" s="769" t="s">
        <v>17</v>
      </c>
      <c r="W25" s="770">
        <f>J25</f>
        <v>100</v>
      </c>
      <c r="X25" s="771"/>
      <c r="Y25" s="3263"/>
      <c r="Z25" s="55" t="str">
        <f>Q25</f>
        <v>基础设施水平</v>
      </c>
      <c r="AA25" s="1808">
        <f>D25/F25</f>
        <v>1</v>
      </c>
      <c r="AB25" s="1808">
        <f>D25/H25</f>
        <v>1</v>
      </c>
      <c r="AC25" s="1808">
        <f>D25/J25</f>
        <v>1</v>
      </c>
    </row>
    <row r="26" spans="1:29" s="117" customFormat="1" ht="15">
      <c r="A26" s="648"/>
      <c r="B26" s="631"/>
      <c r="C26" s="2693"/>
      <c r="D26" s="447"/>
      <c r="E26" s="2694"/>
      <c r="F26" s="447"/>
      <c r="G26" s="2694"/>
      <c r="H26" s="447"/>
      <c r="I26" s="2694"/>
      <c r="J26" s="447"/>
      <c r="K26" s="671"/>
      <c r="L26" s="1129"/>
      <c r="M26" s="1130"/>
      <c r="N26" s="1130"/>
      <c r="O26" s="1131"/>
      <c r="P26" s="3263"/>
      <c r="Q26" s="1792"/>
      <c r="R26" s="769"/>
      <c r="S26" s="770"/>
      <c r="T26" s="769"/>
      <c r="U26" s="770"/>
      <c r="V26" s="769"/>
      <c r="W26" s="770"/>
      <c r="X26" s="771"/>
      <c r="Y26" s="3263"/>
      <c r="Z26" s="55"/>
      <c r="AA26" s="772">
        <v>1</v>
      </c>
      <c r="AB26" s="772">
        <v>1</v>
      </c>
      <c r="AC26" s="772">
        <v>1</v>
      </c>
    </row>
    <row r="27" spans="1:29" ht="15">
      <c r="A27" s="427"/>
      <c r="B27" s="631" t="s">
        <v>2614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63"/>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63"/>
      <c r="Z27" s="1811" t="str">
        <f t="shared" ref="Z27:Z40" si="13">Q27</f>
        <v>临街状况</v>
      </c>
      <c r="AA27" s="1808">
        <f t="shared" si="3"/>
        <v>1</v>
      </c>
      <c r="AB27" s="1808">
        <f t="shared" si="4"/>
        <v>1</v>
      </c>
      <c r="AC27" s="1808">
        <f t="shared" si="5"/>
        <v>1</v>
      </c>
    </row>
    <row r="28" spans="1:29" ht="27">
      <c r="A28" s="427"/>
      <c r="B28" s="632" t="s">
        <v>2649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63"/>
      <c r="Q28" s="1807" t="str">
        <f t="shared" si="8"/>
        <v>毗邻道路的类型与等级</v>
      </c>
      <c r="R28" s="773" t="s">
        <v>17</v>
      </c>
      <c r="S28" s="774">
        <f t="shared" si="10"/>
        <v>100</v>
      </c>
      <c r="T28" s="773" t="s">
        <v>17</v>
      </c>
      <c r="U28" s="774">
        <f t="shared" si="11"/>
        <v>100</v>
      </c>
      <c r="V28" s="773" t="s">
        <v>17</v>
      </c>
      <c r="W28" s="774">
        <f t="shared" si="12"/>
        <v>100</v>
      </c>
      <c r="X28" s="1810"/>
      <c r="Y28" s="3263"/>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263"/>
      <c r="Q29" s="1807"/>
      <c r="R29" s="773"/>
      <c r="S29" s="774"/>
      <c r="T29" s="773"/>
      <c r="U29" s="774"/>
      <c r="V29" s="773"/>
      <c r="W29" s="774"/>
      <c r="X29" s="1810"/>
      <c r="Y29" s="3263"/>
      <c r="Z29" s="1811"/>
      <c r="AA29" s="1808">
        <v>1</v>
      </c>
      <c r="AB29" s="1808">
        <v>1</v>
      </c>
      <c r="AC29" s="1808">
        <v>1</v>
      </c>
    </row>
    <row r="30" spans="1:29" ht="15">
      <c r="A30" s="427"/>
      <c r="B30" s="653" t="s">
        <v>2708</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63"/>
      <c r="Q30" s="1807" t="str">
        <f t="shared" si="8"/>
        <v>土地级别</v>
      </c>
      <c r="R30" s="773" t="s">
        <v>17</v>
      </c>
      <c r="S30" s="774">
        <f t="shared" si="10"/>
        <v>100</v>
      </c>
      <c r="T30" s="773" t="s">
        <v>17</v>
      </c>
      <c r="U30" s="774">
        <f t="shared" si="11"/>
        <v>100</v>
      </c>
      <c r="V30" s="773" t="s">
        <v>17</v>
      </c>
      <c r="W30" s="774">
        <f t="shared" si="12"/>
        <v>100</v>
      </c>
      <c r="X30" s="1810"/>
      <c r="Y30" s="3263"/>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63"/>
      <c r="Q31" s="1807">
        <f t="shared" si="8"/>
        <v>111</v>
      </c>
      <c r="R31" s="773" t="s">
        <v>17</v>
      </c>
      <c r="S31" s="774">
        <f t="shared" si="10"/>
        <v>100</v>
      </c>
      <c r="T31" s="773" t="s">
        <v>17</v>
      </c>
      <c r="U31" s="774">
        <f t="shared" si="11"/>
        <v>100</v>
      </c>
      <c r="V31" s="773" t="s">
        <v>17</v>
      </c>
      <c r="W31" s="774">
        <f t="shared" si="12"/>
        <v>100</v>
      </c>
      <c r="X31" s="1810"/>
      <c r="Y31" s="3263"/>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86" t="s">
        <v>2523</v>
      </c>
      <c r="Q32" s="1807">
        <f t="shared" si="8"/>
        <v>111</v>
      </c>
      <c r="R32" s="773" t="s">
        <v>17</v>
      </c>
      <c r="S32" s="774">
        <f t="shared" si="10"/>
        <v>100</v>
      </c>
      <c r="T32" s="773" t="s">
        <v>17</v>
      </c>
      <c r="U32" s="774">
        <f t="shared" si="11"/>
        <v>100</v>
      </c>
      <c r="V32" s="773" t="s">
        <v>17</v>
      </c>
      <c r="W32" s="774">
        <f t="shared" si="12"/>
        <v>100</v>
      </c>
      <c r="X32" s="1810"/>
      <c r="Y32" s="3267" t="s">
        <v>2523</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67"/>
      <c r="Q33" s="1807">
        <f t="shared" si="8"/>
        <v>111</v>
      </c>
      <c r="R33" s="776" t="s">
        <v>17</v>
      </c>
      <c r="S33" s="777">
        <f t="shared" si="10"/>
        <v>100</v>
      </c>
      <c r="T33" s="776" t="s">
        <v>17</v>
      </c>
      <c r="U33" s="777">
        <f t="shared" si="11"/>
        <v>100</v>
      </c>
      <c r="V33" s="776" t="s">
        <v>17</v>
      </c>
      <c r="W33" s="777">
        <f t="shared" si="12"/>
        <v>100</v>
      </c>
      <c r="X33" s="778"/>
      <c r="Y33" s="3267"/>
      <c r="Z33" s="779">
        <f t="shared" si="13"/>
        <v>111</v>
      </c>
      <c r="AA33" s="1808">
        <f t="shared" si="3"/>
        <v>1</v>
      </c>
      <c r="AB33" s="1808">
        <f t="shared" si="4"/>
        <v>1</v>
      </c>
      <c r="AC33" s="1808">
        <f t="shared" si="5"/>
        <v>1</v>
      </c>
    </row>
    <row r="34" spans="1:29" ht="15">
      <c r="A34" s="439" t="s">
        <v>2521</v>
      </c>
      <c r="B34" s="455" t="s">
        <v>2709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67"/>
      <c r="Q34" s="1807" t="str">
        <f>B34</f>
        <v>宗地面积</v>
      </c>
      <c r="R34" s="773" t="s">
        <v>17</v>
      </c>
      <c r="S34" s="774" t="e">
        <f t="shared" si="10"/>
        <v>#N/A</v>
      </c>
      <c r="T34" s="773" t="s">
        <v>17</v>
      </c>
      <c r="U34" s="774" t="e">
        <f t="shared" si="11"/>
        <v>#N/A</v>
      </c>
      <c r="V34" s="773" t="s">
        <v>17</v>
      </c>
      <c r="W34" s="774" t="e">
        <f t="shared" si="12"/>
        <v>#N/A</v>
      </c>
      <c r="X34" s="1810"/>
      <c r="Y34" s="3267"/>
      <c r="Z34" s="1811" t="str">
        <f t="shared" si="13"/>
        <v>宗地面积</v>
      </c>
      <c r="AA34" s="1808" t="e">
        <f t="shared" si="3"/>
        <v>#N/A</v>
      </c>
      <c r="AB34" s="1808" t="e">
        <f t="shared" si="4"/>
        <v>#N/A</v>
      </c>
      <c r="AC34" s="1808" t="e">
        <f t="shared" si="5"/>
        <v>#N/A</v>
      </c>
    </row>
    <row r="35" spans="1:29" ht="15">
      <c r="A35" s="471"/>
      <c r="B35" s="421" t="s">
        <v>2710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67"/>
      <c r="Q35" s="1807" t="str">
        <f t="shared" ref="Q35:Q40" si="14">B35</f>
        <v>宗地形状</v>
      </c>
      <c r="R35" s="773" t="s">
        <v>17</v>
      </c>
      <c r="S35" s="774">
        <f t="shared" si="10"/>
        <v>100</v>
      </c>
      <c r="T35" s="773" t="s">
        <v>17</v>
      </c>
      <c r="U35" s="774">
        <f t="shared" si="11"/>
        <v>100</v>
      </c>
      <c r="V35" s="773" t="s">
        <v>17</v>
      </c>
      <c r="W35" s="774">
        <f t="shared" si="12"/>
        <v>100</v>
      </c>
      <c r="X35" s="1810"/>
      <c r="Y35" s="3267"/>
      <c r="Z35" s="1811" t="str">
        <f t="shared" si="13"/>
        <v>宗地形状</v>
      </c>
      <c r="AA35" s="1808">
        <f t="shared" si="3"/>
        <v>1</v>
      </c>
      <c r="AB35" s="1808">
        <f t="shared" si="4"/>
        <v>1</v>
      </c>
      <c r="AC35" s="1808">
        <f t="shared" si="5"/>
        <v>1</v>
      </c>
    </row>
    <row r="36" spans="1:29" s="117" customFormat="1" ht="15">
      <c r="A36" s="472"/>
      <c r="B36" s="421" t="s">
        <v>2712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67"/>
      <c r="Q36" s="1807" t="str">
        <f t="shared" si="14"/>
        <v>宗地开发程度</v>
      </c>
      <c r="R36" s="769" t="s">
        <v>17</v>
      </c>
      <c r="S36" s="770">
        <f t="shared" si="10"/>
        <v>100</v>
      </c>
      <c r="T36" s="769" t="s">
        <v>17</v>
      </c>
      <c r="U36" s="770">
        <f t="shared" si="11"/>
        <v>100</v>
      </c>
      <c r="V36" s="769" t="s">
        <v>17</v>
      </c>
      <c r="W36" s="770">
        <f t="shared" si="12"/>
        <v>100</v>
      </c>
      <c r="X36" s="771"/>
      <c r="Y36" s="3267"/>
      <c r="Z36" s="55" t="str">
        <f t="shared" si="13"/>
        <v>宗地开发程度</v>
      </c>
      <c r="AA36" s="772">
        <f t="shared" si="3"/>
        <v>1</v>
      </c>
      <c r="AB36" s="772">
        <f t="shared" si="4"/>
        <v>1</v>
      </c>
      <c r="AC36" s="772">
        <f t="shared" si="5"/>
        <v>1</v>
      </c>
    </row>
    <row r="37" spans="1:29" ht="15">
      <c r="A37" s="471"/>
      <c r="B37" s="421" t="s">
        <v>2713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67" t="s">
        <v>2523</v>
      </c>
      <c r="Q37" s="1807" t="str">
        <f t="shared" si="14"/>
        <v>工程地质条件</v>
      </c>
      <c r="R37" s="773" t="s">
        <v>17</v>
      </c>
      <c r="S37" s="774">
        <f t="shared" si="10"/>
        <v>100</v>
      </c>
      <c r="T37" s="773" t="s">
        <v>17</v>
      </c>
      <c r="U37" s="774">
        <f t="shared" si="11"/>
        <v>100</v>
      </c>
      <c r="V37" s="773" t="s">
        <v>17</v>
      </c>
      <c r="W37" s="774">
        <f t="shared" si="12"/>
        <v>100</v>
      </c>
      <c r="X37" s="1810"/>
      <c r="Y37" s="3267" t="s">
        <v>2523</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67"/>
      <c r="Q38" s="1807">
        <f t="shared" si="14"/>
        <v>111</v>
      </c>
      <c r="R38" s="773" t="s">
        <v>17</v>
      </c>
      <c r="S38" s="774">
        <f t="shared" si="10"/>
        <v>100</v>
      </c>
      <c r="T38" s="773" t="s">
        <v>17</v>
      </c>
      <c r="U38" s="774">
        <f t="shared" si="11"/>
        <v>100</v>
      </c>
      <c r="V38" s="773" t="s">
        <v>17</v>
      </c>
      <c r="W38" s="774">
        <f t="shared" si="12"/>
        <v>100</v>
      </c>
      <c r="X38" s="1810"/>
      <c r="Y38" s="3267"/>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67"/>
      <c r="Q39" s="1807">
        <f t="shared" si="14"/>
        <v>111</v>
      </c>
      <c r="R39" s="773" t="s">
        <v>17</v>
      </c>
      <c r="S39" s="774">
        <f t="shared" si="10"/>
        <v>100</v>
      </c>
      <c r="T39" s="773" t="s">
        <v>17</v>
      </c>
      <c r="U39" s="774">
        <f t="shared" si="11"/>
        <v>100</v>
      </c>
      <c r="V39" s="773" t="s">
        <v>17</v>
      </c>
      <c r="W39" s="774">
        <f t="shared" si="12"/>
        <v>100</v>
      </c>
      <c r="X39" s="1810"/>
      <c r="Y39" s="3267"/>
      <c r="Z39" s="1811">
        <f t="shared" si="13"/>
        <v>111</v>
      </c>
      <c r="AA39" s="1808">
        <f t="shared" si="3"/>
        <v>1</v>
      </c>
      <c r="AB39" s="1808">
        <f t="shared" si="4"/>
        <v>1</v>
      </c>
      <c r="AC39" s="1808">
        <f t="shared" si="5"/>
        <v>1</v>
      </c>
    </row>
    <row r="40" spans="1:29" s="470" customFormat="1" ht="15.75"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67"/>
      <c r="Q40" s="1807">
        <f t="shared" si="14"/>
        <v>111</v>
      </c>
      <c r="R40" s="776" t="s">
        <v>17</v>
      </c>
      <c r="S40" s="777">
        <f t="shared" si="10"/>
        <v>100</v>
      </c>
      <c r="T40" s="776" t="s">
        <v>17</v>
      </c>
      <c r="U40" s="777">
        <f t="shared" si="11"/>
        <v>100</v>
      </c>
      <c r="V40" s="776" t="s">
        <v>17</v>
      </c>
      <c r="W40" s="777">
        <f t="shared" si="12"/>
        <v>100</v>
      </c>
      <c r="X40" s="778"/>
      <c r="Y40" s="3267"/>
      <c r="Z40" s="779">
        <f t="shared" si="13"/>
        <v>111</v>
      </c>
      <c r="AA40" s="1808">
        <f t="shared" si="3"/>
        <v>1</v>
      </c>
      <c r="AB40" s="1808">
        <f t="shared" si="4"/>
        <v>1</v>
      </c>
      <c r="AC40" s="1808">
        <f t="shared" si="5"/>
        <v>1</v>
      </c>
    </row>
    <row r="41" spans="1:29" ht="15">
      <c r="A41" s="478" t="s">
        <v>2678</v>
      </c>
      <c r="B41" s="2697" t="s">
        <v>2758</v>
      </c>
      <c r="C41" s="681" t="s">
        <v>1</v>
      </c>
      <c r="D41" s="480"/>
      <c r="E41" s="481"/>
      <c r="F41" s="482"/>
      <c r="G41" s="483"/>
      <c r="H41" s="484"/>
      <c r="I41" s="481"/>
      <c r="J41" s="484"/>
      <c r="K41" s="782"/>
      <c r="L41" s="1140"/>
      <c r="M41" s="1128"/>
      <c r="N41" s="1128"/>
      <c r="O41" s="1141"/>
      <c r="P41" s="3260" t="str">
        <f>A41</f>
        <v>成交单价</v>
      </c>
      <c r="Q41" s="3260"/>
      <c r="R41" s="3255">
        <f>E41</f>
        <v>0</v>
      </c>
      <c r="S41" s="3255"/>
      <c r="T41" s="3255">
        <f>G41</f>
        <v>0</v>
      </c>
      <c r="U41" s="3255"/>
      <c r="V41" s="3255">
        <f>I41</f>
        <v>0</v>
      </c>
      <c r="W41" s="3255"/>
      <c r="X41" s="758"/>
      <c r="Y41" s="780"/>
      <c r="Z41" s="758"/>
      <c r="AA41" s="758"/>
      <c r="AB41" s="758"/>
      <c r="AC41" s="758"/>
    </row>
    <row r="42" spans="1:29" ht="15.75" thickBot="1">
      <c r="A42" s="485" t="s">
        <v>2627</v>
      </c>
      <c r="B42" s="682"/>
      <c r="C42" s="489" t="e">
        <f>R43</f>
        <v>#DIV/0!</v>
      </c>
      <c r="D42" s="488"/>
      <c r="E42" s="489" t="e">
        <f>R42</f>
        <v>#DIV/0!</v>
      </c>
      <c r="F42" s="490"/>
      <c r="G42" s="487" t="e">
        <f>T42</f>
        <v>#DIV/0!</v>
      </c>
      <c r="H42" s="488"/>
      <c r="I42" s="489" t="e">
        <f>V42</f>
        <v>#DIV/0!</v>
      </c>
      <c r="J42" s="488"/>
      <c r="K42" s="783"/>
      <c r="L42" s="1140"/>
      <c r="M42" s="1128"/>
      <c r="N42" s="1128"/>
      <c r="O42" s="1141"/>
      <c r="P42" s="3260" t="str">
        <f>A42</f>
        <v>比较价值（元/平方米）</v>
      </c>
      <c r="Q42" s="3260"/>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2628</v>
      </c>
      <c r="B43" s="492"/>
      <c r="C43" s="493" t="e">
        <f>R43</f>
        <v>#DIV/0!</v>
      </c>
      <c r="D43" s="493"/>
      <c r="E43" s="493"/>
      <c r="F43" s="493"/>
      <c r="G43" s="493"/>
      <c r="H43" s="493"/>
      <c r="I43" s="493"/>
      <c r="J43" s="493"/>
      <c r="K43" s="784"/>
      <c r="L43" s="1140"/>
      <c r="M43" s="1128"/>
      <c r="N43" s="1128"/>
      <c r="O43" s="1141"/>
      <c r="P43" s="3257" t="str">
        <f>A43</f>
        <v>估价对象XX用房的比较价值（楼面单价，元/平方米）</v>
      </c>
      <c r="Q43" s="3258"/>
      <c r="R43" s="3288" t="e">
        <f>ROUND(AVERAGE(R42:V42),0)</f>
        <v>#DIV/0!</v>
      </c>
      <c r="S43" s="3288"/>
      <c r="T43" s="3288"/>
      <c r="U43" s="3288"/>
      <c r="V43" s="3288"/>
      <c r="W43" s="3288"/>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2716</v>
      </c>
      <c r="B50" s="684" t="s">
        <v>2717</v>
      </c>
      <c r="C50" s="2698" t="s">
        <v>2718</v>
      </c>
      <c r="D50" s="2699" t="s">
        <v>2719</v>
      </c>
      <c r="E50" s="685" t="s">
        <v>2720</v>
      </c>
      <c r="F50" s="686" t="s">
        <v>2721</v>
      </c>
      <c r="G50" s="3243" t="s">
        <v>2722</v>
      </c>
      <c r="H50" s="3289"/>
      <c r="I50" s="1811" t="s">
        <v>2759</v>
      </c>
      <c r="J50" s="1811">
        <f>项目基本情况!F35</f>
        <v>0</v>
      </c>
      <c r="K50" s="2701" t="s">
        <v>2724</v>
      </c>
      <c r="L50" s="1103"/>
      <c r="M50" s="1141"/>
      <c r="N50" s="1141"/>
      <c r="O50" s="1141"/>
    </row>
    <row r="51" spans="1:17" s="691" customFormat="1">
      <c r="A51" s="687" t="s">
        <v>2725</v>
      </c>
      <c r="B51" s="688" t="e">
        <f>C43</f>
        <v>#DIV/0!</v>
      </c>
      <c r="C51" s="689">
        <v>1</v>
      </c>
      <c r="D51" s="1160">
        <v>1</v>
      </c>
      <c r="E51" s="689">
        <f>'数据-汇总表'!E8+'数据-汇总表'!E9</f>
        <v>75088.649999999994</v>
      </c>
      <c r="F51" s="690" t="e">
        <f t="shared" ref="F51:F60" si="15">ROUND(B51*E51/10000,0)</f>
        <v>#DIV/0!</v>
      </c>
      <c r="G51" s="3242"/>
      <c r="H51" s="3260"/>
      <c r="I51" s="939">
        <v>1</v>
      </c>
      <c r="J51" s="939">
        <v>1</v>
      </c>
      <c r="K51" s="1142"/>
      <c r="L51" s="938"/>
      <c r="M51" s="938"/>
      <c r="N51" s="938"/>
      <c r="O51" s="938"/>
    </row>
    <row r="52" spans="1:17" s="691" customFormat="1">
      <c r="A52" s="692" t="s">
        <v>2726</v>
      </c>
      <c r="B52" s="261" t="e">
        <f>ROUND($C$43*C52*D52,0)</f>
        <v>#DIV/0!</v>
      </c>
      <c r="C52" s="199">
        <f t="shared" ref="C52:C60" si="16">IF($C$50="北京市系数",I52,J52)</f>
        <v>0.7</v>
      </c>
      <c r="D52" s="1161">
        <v>0.25</v>
      </c>
      <c r="E52" s="693"/>
      <c r="F52" s="690" t="e">
        <f t="shared" si="15"/>
        <v>#DIV/0!</v>
      </c>
      <c r="G52" s="3290" t="s">
        <v>2727</v>
      </c>
      <c r="H52" s="1101" t="str">
        <f>项目基本情况!B37</f>
        <v>五级</v>
      </c>
      <c r="I52" s="939">
        <f>SUMIF(修正!A45:A56,H52,修正!B45:B56)</f>
        <v>0.7</v>
      </c>
      <c r="J52" s="940"/>
      <c r="K52" s="1141"/>
      <c r="L52" s="938"/>
      <c r="M52" s="938"/>
      <c r="N52" s="938"/>
      <c r="O52" s="938"/>
    </row>
    <row r="53" spans="1:17" s="691" customFormat="1">
      <c r="A53" s="692" t="s">
        <v>2728</v>
      </c>
      <c r="B53" s="261" t="e">
        <f t="shared" ref="B53:B60" si="17">ROUND($C$43*C53*D53,0)</f>
        <v>#DIV/0!</v>
      </c>
      <c r="C53" s="199">
        <f t="shared" si="16"/>
        <v>0.4</v>
      </c>
      <c r="D53" s="1161">
        <v>0.25</v>
      </c>
      <c r="E53" s="693"/>
      <c r="F53" s="690" t="e">
        <f t="shared" si="15"/>
        <v>#DIV/0!</v>
      </c>
      <c r="G53" s="3290"/>
      <c r="H53" s="1101" t="str">
        <f>项目基本情况!B37</f>
        <v>五级</v>
      </c>
      <c r="I53" s="939">
        <f>SUMIF(修正!A45:A56,H53,修正!C45:C56)</f>
        <v>0.4</v>
      </c>
      <c r="J53" s="940"/>
      <c r="K53" s="1142"/>
      <c r="L53" s="938"/>
      <c r="M53" s="938"/>
      <c r="N53" s="938"/>
      <c r="O53" s="938"/>
    </row>
    <row r="54" spans="1:17" s="691" customFormat="1">
      <c r="A54" s="692" t="s">
        <v>2729</v>
      </c>
      <c r="B54" s="261" t="e">
        <f t="shared" si="17"/>
        <v>#DIV/0!</v>
      </c>
      <c r="C54" s="199">
        <f t="shared" si="16"/>
        <v>0.28000000000000003</v>
      </c>
      <c r="D54" s="1161">
        <v>0.25</v>
      </c>
      <c r="E54" s="693"/>
      <c r="F54" s="690" t="e">
        <f t="shared" si="15"/>
        <v>#DIV/0!</v>
      </c>
      <c r="G54" s="3290"/>
      <c r="H54" s="1101" t="str">
        <f>项目基本情况!B37</f>
        <v>五级</v>
      </c>
      <c r="I54" s="939">
        <f>SUMIF(修正!A45:A56,H54,修正!D45:D56)</f>
        <v>0.28000000000000003</v>
      </c>
      <c r="J54" s="940"/>
      <c r="K54" s="1141"/>
      <c r="L54" s="938"/>
      <c r="M54" s="938"/>
      <c r="N54" s="938"/>
      <c r="O54" s="938"/>
    </row>
    <row r="55" spans="1:17" s="691" customFormat="1">
      <c r="A55" s="692" t="s">
        <v>2730</v>
      </c>
      <c r="B55" s="261" t="e">
        <f t="shared" si="17"/>
        <v>#DIV/0!</v>
      </c>
      <c r="C55" s="199">
        <f t="shared" si="16"/>
        <v>0.25</v>
      </c>
      <c r="D55" s="1161">
        <v>0.25</v>
      </c>
      <c r="E55" s="693"/>
      <c r="F55" s="690" t="e">
        <f t="shared" si="15"/>
        <v>#DIV/0!</v>
      </c>
      <c r="G55" s="3290"/>
      <c r="H55" s="1101" t="str">
        <f>项目基本情况!B37</f>
        <v>五级</v>
      </c>
      <c r="I55" s="939">
        <f>SUMIF(修正!A45:A56,H55,修正!E45:E56)</f>
        <v>0.25</v>
      </c>
      <c r="J55" s="940"/>
      <c r="K55" s="1142"/>
      <c r="L55" s="938"/>
      <c r="M55" s="938"/>
      <c r="N55" s="938"/>
      <c r="O55" s="938"/>
    </row>
    <row r="56" spans="1:17" s="691" customFormat="1">
      <c r="A56" s="692" t="s">
        <v>2731</v>
      </c>
      <c r="B56" s="261" t="e">
        <f t="shared" si="17"/>
        <v>#DIV/0!</v>
      </c>
      <c r="C56" s="199">
        <f t="shared" si="16"/>
        <v>0</v>
      </c>
      <c r="D56" s="1161">
        <v>0.25</v>
      </c>
      <c r="E56" s="260">
        <f>'数据-汇总表'!E11</f>
        <v>0</v>
      </c>
      <c r="F56" s="690" t="e">
        <f t="shared" si="15"/>
        <v>#DIV/0!</v>
      </c>
      <c r="G56" s="2702" t="s">
        <v>2732</v>
      </c>
      <c r="H56" s="1101">
        <f>项目基本情况!C37</f>
        <v>0</v>
      </c>
      <c r="I56" s="939">
        <f>SUMIF(修正!A45:A56,H56,修正!F45:F56)</f>
        <v>0</v>
      </c>
      <c r="J56" s="940"/>
      <c r="K56" s="1141"/>
      <c r="L56" s="938"/>
      <c r="M56" s="938"/>
      <c r="N56" s="938"/>
      <c r="O56" s="938"/>
    </row>
    <row r="57" spans="1:17" s="691" customFormat="1">
      <c r="A57" s="692" t="s">
        <v>2733</v>
      </c>
      <c r="B57" s="261" t="e">
        <f t="shared" si="17"/>
        <v>#DIV/0!</v>
      </c>
      <c r="C57" s="199">
        <f t="shared" si="16"/>
        <v>0</v>
      </c>
      <c r="D57" s="1161">
        <v>0.25</v>
      </c>
      <c r="E57" s="260">
        <f>'数据-汇总表'!E12</f>
        <v>0</v>
      </c>
      <c r="F57" s="690" t="e">
        <f t="shared" si="15"/>
        <v>#DIV/0!</v>
      </c>
      <c r="G57" s="1106" t="s">
        <v>2734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2735</v>
      </c>
      <c r="B58" s="261" t="e">
        <f t="shared" si="17"/>
        <v>#DIV/0!</v>
      </c>
      <c r="C58" s="199">
        <f t="shared" si="16"/>
        <v>0</v>
      </c>
      <c r="D58" s="1161">
        <v>0.25</v>
      </c>
      <c r="E58" s="260">
        <f>'数据-汇总表'!E13</f>
        <v>17186.37</v>
      </c>
      <c r="F58" s="690" t="e">
        <f t="shared" si="15"/>
        <v>#DIV/0!</v>
      </c>
      <c r="G58" s="1106" t="s">
        <v>2736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2737</v>
      </c>
      <c r="B59" s="261" t="e">
        <f t="shared" si="17"/>
        <v>#DIV/0!</v>
      </c>
      <c r="C59" s="199">
        <f t="shared" si="16"/>
        <v>0.2</v>
      </c>
      <c r="D59" s="1161">
        <v>0.25</v>
      </c>
      <c r="E59" s="260">
        <f>'数据-汇总表'!E14</f>
        <v>0</v>
      </c>
      <c r="F59" s="690" t="e">
        <f t="shared" si="15"/>
        <v>#DIV/0!</v>
      </c>
      <c r="G59" s="2702" t="s">
        <v>2727</v>
      </c>
      <c r="H59" s="1101" t="str">
        <f>项目基本情况!B37</f>
        <v>五级</v>
      </c>
      <c r="I59" s="939">
        <f>SUMIF(修正!A45:A56,H59,修正!H45:H56)</f>
        <v>0.2</v>
      </c>
      <c r="J59" s="940"/>
      <c r="K59" s="1142"/>
      <c r="L59" s="938"/>
      <c r="M59" s="938"/>
      <c r="N59" s="938"/>
      <c r="O59" s="938"/>
    </row>
    <row r="60" spans="1:17" s="691" customFormat="1" ht="15" thickBot="1">
      <c r="A60" s="692" t="s">
        <v>2738</v>
      </c>
      <c r="B60" s="261" t="e">
        <f t="shared" si="17"/>
        <v>#DIV/0!</v>
      </c>
      <c r="C60" s="199">
        <f t="shared" si="16"/>
        <v>0</v>
      </c>
      <c r="D60" s="1161">
        <v>0.25</v>
      </c>
      <c r="E60" s="260">
        <f>'数据-汇总表'!E15</f>
        <v>0</v>
      </c>
      <c r="F60" s="690" t="e">
        <f t="shared" si="15"/>
        <v>#DIV/0!</v>
      </c>
      <c r="G60" s="2703" t="s">
        <v>2732</v>
      </c>
      <c r="H60" s="1111">
        <f>项目基本情况!C37</f>
        <v>0</v>
      </c>
      <c r="I60" s="939">
        <f>SUMIF(修正!A45:A56,H60,修正!H45:H56)</f>
        <v>0</v>
      </c>
      <c r="J60" s="940"/>
      <c r="K60" s="1141"/>
      <c r="L60" s="938"/>
      <c r="M60" s="938"/>
      <c r="N60" s="938"/>
      <c r="O60" s="938"/>
    </row>
    <row r="61" spans="1:17" s="691" customFormat="1" ht="15" thickBot="1">
      <c r="A61" s="694" t="s">
        <v>2739</v>
      </c>
      <c r="B61" s="695" t="s">
        <v>28</v>
      </c>
      <c r="C61" s="695" t="s">
        <v>29</v>
      </c>
      <c r="D61" s="695" t="s">
        <v>1029</v>
      </c>
      <c r="E61" s="695">
        <f>IF(B41="楼面地价",SUM(E51:E60),'数据-汇总表'!D3)</f>
        <v>22271.54</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2632</v>
      </c>
      <c r="B64" s="758"/>
      <c r="C64" s="763"/>
      <c r="D64" s="763"/>
      <c r="E64" s="763"/>
      <c r="F64" s="764"/>
      <c r="G64" s="764"/>
      <c r="H64" s="763"/>
      <c r="I64" s="763"/>
      <c r="J64" s="763"/>
      <c r="K64" s="765"/>
      <c r="L64" s="766"/>
      <c r="M64" s="763"/>
      <c r="N64" s="763"/>
      <c r="O64" s="1156"/>
      <c r="P64" s="502"/>
      <c r="Q64" s="503"/>
    </row>
    <row r="65" spans="1:17" s="507" customFormat="1" ht="15">
      <c r="A65" s="2704" t="s">
        <v>2740</v>
      </c>
      <c r="B65" s="1356"/>
      <c r="C65" s="1569" t="str">
        <f>YEAR(C63)&amp;"-"&amp;ROUNDUP(MONTH(C63)/3,0)</f>
        <v>2018-1</v>
      </c>
      <c r="D65" s="1569" t="str">
        <f t="shared" ref="D65:O65" si="19">YEAR(D63)&amp;"-"&amp;ROUNDUP(MONTH(D63)/3,0)</f>
        <v>2017-4</v>
      </c>
      <c r="E65" s="1569" t="str">
        <f t="shared" si="19"/>
        <v>2017-3</v>
      </c>
      <c r="F65" s="1569" t="str">
        <f t="shared" si="19"/>
        <v>2017-2</v>
      </c>
      <c r="G65" s="1569" t="str">
        <f t="shared" si="19"/>
        <v>2017-1</v>
      </c>
      <c r="H65" s="1569" t="str">
        <f t="shared" si="19"/>
        <v>2016-4</v>
      </c>
      <c r="I65" s="1569" t="str">
        <f t="shared" si="19"/>
        <v>2016-3</v>
      </c>
      <c r="J65" s="1569" t="str">
        <f t="shared" si="19"/>
        <v>2016-2</v>
      </c>
      <c r="K65" s="1569" t="str">
        <f t="shared" si="19"/>
        <v>2016-1</v>
      </c>
      <c r="L65" s="1569" t="str">
        <f t="shared" si="19"/>
        <v>2015-4</v>
      </c>
      <c r="M65" s="1569" t="str">
        <f t="shared" si="19"/>
        <v>2015-3</v>
      </c>
      <c r="N65" s="1569" t="str">
        <f t="shared" si="19"/>
        <v>2015-2</v>
      </c>
      <c r="O65" s="1569" t="str">
        <f t="shared" si="19"/>
        <v>2015-1</v>
      </c>
      <c r="P65" s="506"/>
    </row>
    <row r="66" spans="1:17" s="117" customFormat="1" ht="30.75" customHeight="1">
      <c r="A66" s="2709" t="s">
        <v>2760</v>
      </c>
      <c r="B66" s="331"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2543</v>
      </c>
      <c r="B67" s="515"/>
      <c r="C67" s="516"/>
      <c r="D67" s="517"/>
      <c r="E67" s="517"/>
      <c r="F67" s="517"/>
      <c r="G67" s="517"/>
      <c r="H67" s="517"/>
      <c r="I67" s="517"/>
      <c r="J67" s="517"/>
      <c r="K67" s="517"/>
      <c r="L67" s="517"/>
      <c r="M67" s="518"/>
      <c r="N67" s="518"/>
      <c r="O67" s="519"/>
      <c r="P67" s="503"/>
      <c r="Q67" s="503"/>
    </row>
    <row r="68" spans="1:17" s="117" customFormat="1" ht="15">
      <c r="A68" s="520" t="s">
        <v>2508</v>
      </c>
      <c r="B68" s="509"/>
      <c r="C68" s="521" t="s">
        <v>2610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2546</v>
      </c>
      <c r="B70" s="527" t="s">
        <v>2512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2515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2516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2517</v>
      </c>
      <c r="B83" s="527" t="s">
        <v>2663</v>
      </c>
      <c r="C83" s="572" t="s">
        <v>2555</v>
      </c>
      <c r="D83" s="572" t="s">
        <v>2556</v>
      </c>
      <c r="E83" s="572" t="s">
        <v>2557</v>
      </c>
      <c r="F83" s="572" t="s">
        <v>2558</v>
      </c>
      <c r="G83" s="572" t="s">
        <v>2559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2560</v>
      </c>
      <c r="C85" s="577" t="s">
        <v>2555</v>
      </c>
      <c r="D85" s="577" t="s">
        <v>2556</v>
      </c>
      <c r="E85" s="577" t="s">
        <v>2557</v>
      </c>
      <c r="F85" s="577" t="s">
        <v>2558</v>
      </c>
      <c r="G85" s="577" t="s">
        <v>2559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2743</v>
      </c>
      <c r="C87" s="572" t="s">
        <v>2555</v>
      </c>
      <c r="D87" s="572" t="s">
        <v>2556</v>
      </c>
      <c r="E87" s="572" t="s">
        <v>2557</v>
      </c>
      <c r="F87" s="572" t="s">
        <v>2558</v>
      </c>
      <c r="G87" s="572" t="s">
        <v>2559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2744</v>
      </c>
      <c r="C89" s="572" t="s">
        <v>2555</v>
      </c>
      <c r="D89" s="572" t="s">
        <v>2556</v>
      </c>
      <c r="E89" s="572" t="s">
        <v>2557</v>
      </c>
      <c r="F89" s="572" t="s">
        <v>2558</v>
      </c>
      <c r="G89" s="572" t="s">
        <v>2559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2612</v>
      </c>
      <c r="C91" s="572" t="s">
        <v>2555</v>
      </c>
      <c r="D91" s="572" t="s">
        <v>2556</v>
      </c>
      <c r="E91" s="572" t="s">
        <v>2557</v>
      </c>
      <c r="F91" s="572" t="s">
        <v>2558</v>
      </c>
      <c r="G91" s="572" t="s">
        <v>2559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2761</v>
      </c>
      <c r="C93" s="659" t="s">
        <v>2633</v>
      </c>
      <c r="D93" s="659" t="s">
        <v>2634</v>
      </c>
      <c r="E93" s="659" t="s">
        <v>2635</v>
      </c>
      <c r="F93" s="659" t="s">
        <v>2636</v>
      </c>
      <c r="G93" s="659" t="s">
        <v>2637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2745</v>
      </c>
      <c r="D95" s="538" t="s">
        <v>2746</v>
      </c>
      <c r="E95" s="538" t="s">
        <v>2747</v>
      </c>
      <c r="F95" s="538" t="s">
        <v>2748</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2649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2708</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2521</v>
      </c>
      <c r="B107" s="527" t="s">
        <v>2749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2750</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2752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2753</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95" t="s">
        <v>614</v>
      </c>
      <c r="C61" s="812" t="s">
        <v>615</v>
      </c>
      <c r="D61" s="812" t="s">
        <v>616</v>
      </c>
      <c r="E61" s="889">
        <v>0.5</v>
      </c>
      <c r="F61" s="876">
        <v>80</v>
      </c>
    </row>
    <row r="62" spans="1:8" s="872" customFormat="1" ht="24">
      <c r="A62" s="876">
        <v>2</v>
      </c>
      <c r="B62" s="3295"/>
      <c r="C62" s="812" t="s">
        <v>617</v>
      </c>
      <c r="D62" s="812" t="s">
        <v>618</v>
      </c>
      <c r="E62" s="889">
        <v>0.5</v>
      </c>
      <c r="F62" s="876">
        <v>80</v>
      </c>
    </row>
    <row r="63" spans="1:8" s="872" customFormat="1" ht="36">
      <c r="A63" s="876">
        <v>3</v>
      </c>
      <c r="B63" s="3295"/>
      <c r="C63" s="812" t="s">
        <v>619</v>
      </c>
      <c r="D63" s="812" t="s">
        <v>620</v>
      </c>
      <c r="E63" s="889">
        <v>0.5</v>
      </c>
      <c r="F63" s="876">
        <v>80</v>
      </c>
    </row>
    <row r="64" spans="1:8" s="872" customFormat="1" ht="36">
      <c r="A64" s="876">
        <v>4</v>
      </c>
      <c r="B64" s="3295"/>
      <c r="C64" s="812" t="s">
        <v>621</v>
      </c>
      <c r="D64" s="812" t="s">
        <v>622</v>
      </c>
      <c r="E64" s="889">
        <v>0.4</v>
      </c>
      <c r="F64" s="876">
        <v>60</v>
      </c>
    </row>
    <row r="65" spans="1:6" s="872" customFormat="1" ht="36">
      <c r="A65" s="876">
        <v>5</v>
      </c>
      <c r="B65" s="3295"/>
      <c r="C65" s="812" t="s">
        <v>623</v>
      </c>
      <c r="D65" s="812" t="s">
        <v>624</v>
      </c>
      <c r="E65" s="889">
        <v>0.2</v>
      </c>
      <c r="F65" s="876">
        <v>30</v>
      </c>
    </row>
    <row r="66" spans="1:6" s="872" customFormat="1" ht="36">
      <c r="A66" s="876">
        <v>6</v>
      </c>
      <c r="B66" s="3295"/>
      <c r="C66" s="812" t="s">
        <v>625</v>
      </c>
      <c r="D66" s="812" t="s">
        <v>626</v>
      </c>
      <c r="E66" s="889">
        <v>0.3</v>
      </c>
      <c r="F66" s="876">
        <v>50</v>
      </c>
    </row>
    <row r="67" spans="1:6" s="872" customFormat="1" ht="36">
      <c r="A67" s="876">
        <v>7</v>
      </c>
      <c r="B67" s="3295"/>
      <c r="C67" s="812" t="s">
        <v>627</v>
      </c>
      <c r="D67" s="812" t="s">
        <v>628</v>
      </c>
      <c r="E67" s="889">
        <v>0.2</v>
      </c>
      <c r="F67" s="876">
        <v>30</v>
      </c>
    </row>
    <row r="68" spans="1:6" s="872" customFormat="1" ht="36">
      <c r="A68" s="876">
        <v>8</v>
      </c>
      <c r="B68" s="3295"/>
      <c r="C68" s="812" t="s">
        <v>629</v>
      </c>
      <c r="D68" s="812" t="s">
        <v>630</v>
      </c>
      <c r="E68" s="889">
        <v>0.2</v>
      </c>
      <c r="F68" s="876">
        <v>30</v>
      </c>
    </row>
    <row r="69" spans="1:6" s="872" customFormat="1" ht="36">
      <c r="A69" s="876">
        <v>9</v>
      </c>
      <c r="B69" s="3295"/>
      <c r="C69" s="812" t="s">
        <v>631</v>
      </c>
      <c r="D69" s="812" t="s">
        <v>632</v>
      </c>
      <c r="E69" s="889">
        <v>0.2</v>
      </c>
      <c r="F69" s="876">
        <v>30</v>
      </c>
    </row>
    <row r="70" spans="1:6" s="872" customFormat="1" ht="48">
      <c r="A70" s="876">
        <v>10</v>
      </c>
      <c r="B70" s="3295"/>
      <c r="C70" s="812" t="s">
        <v>633</v>
      </c>
      <c r="D70" s="812" t="s">
        <v>634</v>
      </c>
      <c r="E70" s="889">
        <v>0.2</v>
      </c>
      <c r="F70" s="876">
        <v>30</v>
      </c>
    </row>
    <row r="71" spans="1:6" s="872" customFormat="1" ht="48">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24">
      <c r="A73" s="876">
        <v>13</v>
      </c>
      <c r="B73" s="3295"/>
      <c r="C73" s="812" t="s">
        <v>639</v>
      </c>
      <c r="D73" s="812" t="s">
        <v>640</v>
      </c>
      <c r="E73" s="889">
        <v>0.4</v>
      </c>
      <c r="F73" s="876">
        <v>60</v>
      </c>
    </row>
    <row r="74" spans="1:6" s="872" customFormat="1" ht="24">
      <c r="A74" s="876">
        <v>14</v>
      </c>
      <c r="B74" s="3295"/>
      <c r="C74" s="812" t="s">
        <v>641</v>
      </c>
      <c r="D74" s="812" t="s">
        <v>642</v>
      </c>
      <c r="E74" s="889">
        <v>0.2</v>
      </c>
      <c r="F74" s="876">
        <v>30</v>
      </c>
    </row>
    <row r="75" spans="1:6" s="872" customFormat="1" ht="24">
      <c r="A75" s="876">
        <v>15</v>
      </c>
      <c r="B75" s="3295"/>
      <c r="C75" s="812" t="s">
        <v>643</v>
      </c>
      <c r="D75" s="812" t="s">
        <v>644</v>
      </c>
      <c r="E75" s="889">
        <v>0.2</v>
      </c>
      <c r="F75" s="876">
        <v>30</v>
      </c>
    </row>
    <row r="76" spans="1:6" s="872" customFormat="1" ht="24">
      <c r="A76" s="876">
        <v>16</v>
      </c>
      <c r="B76" s="3295" t="s">
        <v>645</v>
      </c>
      <c r="C76" s="812" t="s">
        <v>646</v>
      </c>
      <c r="D76" s="812" t="s">
        <v>647</v>
      </c>
      <c r="E76" s="889">
        <v>0.5</v>
      </c>
      <c r="F76" s="876">
        <v>80</v>
      </c>
    </row>
    <row r="77" spans="1:6" s="872" customFormat="1" ht="24">
      <c r="A77" s="876">
        <v>17</v>
      </c>
      <c r="B77" s="3295"/>
      <c r="C77" s="812" t="s">
        <v>648</v>
      </c>
      <c r="D77" s="812" t="s">
        <v>649</v>
      </c>
      <c r="E77" s="889">
        <v>0.5</v>
      </c>
      <c r="F77" s="876">
        <v>80</v>
      </c>
    </row>
    <row r="78" spans="1:6" s="872" customFormat="1" ht="24">
      <c r="A78" s="876">
        <v>18</v>
      </c>
      <c r="B78" s="3295"/>
      <c r="C78" s="812" t="s">
        <v>650</v>
      </c>
      <c r="D78" s="812" t="s">
        <v>651</v>
      </c>
      <c r="E78" s="889">
        <v>0.2</v>
      </c>
      <c r="F78" s="876">
        <v>30</v>
      </c>
    </row>
    <row r="79" spans="1:6" s="872" customFormat="1" ht="24">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48">
      <c r="A82" s="876">
        <v>22</v>
      </c>
      <c r="B82" s="3295"/>
      <c r="C82" s="812" t="s">
        <v>658</v>
      </c>
      <c r="D82" s="812" t="s">
        <v>659</v>
      </c>
      <c r="E82" s="889">
        <v>0.2</v>
      </c>
      <c r="F82" s="876">
        <v>30</v>
      </c>
    </row>
    <row r="83" spans="1:6" s="872" customFormat="1" ht="48">
      <c r="A83" s="876">
        <v>23</v>
      </c>
      <c r="B83" s="3295"/>
      <c r="C83" s="812" t="s">
        <v>660</v>
      </c>
      <c r="D83" s="812" t="s">
        <v>661</v>
      </c>
      <c r="E83" s="889">
        <v>0.2</v>
      </c>
      <c r="F83" s="876">
        <v>30</v>
      </c>
    </row>
    <row r="84" spans="1:6" s="872" customFormat="1" ht="36">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24">
      <c r="A89" s="876">
        <v>29</v>
      </c>
      <c r="B89" s="3295"/>
      <c r="C89" s="812" t="s">
        <v>672</v>
      </c>
      <c r="D89" s="812" t="s">
        <v>673</v>
      </c>
      <c r="E89" s="889">
        <v>0.2</v>
      </c>
      <c r="F89" s="876">
        <v>30</v>
      </c>
    </row>
    <row r="90" spans="1:6" s="872" customFormat="1" ht="24">
      <c r="A90" s="876">
        <v>30</v>
      </c>
      <c r="B90" s="3295"/>
      <c r="C90" s="812" t="s">
        <v>674</v>
      </c>
      <c r="D90" s="812" t="s">
        <v>675</v>
      </c>
      <c r="E90" s="889">
        <v>0.2</v>
      </c>
      <c r="F90" s="876">
        <v>30</v>
      </c>
    </row>
    <row r="91" spans="1:6" s="872" customFormat="1" ht="36">
      <c r="A91" s="876">
        <v>31</v>
      </c>
      <c r="B91" s="3295"/>
      <c r="C91" s="812" t="s">
        <v>676</v>
      </c>
      <c r="D91" s="812" t="s">
        <v>677</v>
      </c>
      <c r="E91" s="889">
        <v>0.2</v>
      </c>
      <c r="F91" s="876">
        <v>30</v>
      </c>
    </row>
    <row r="92" spans="1:6" s="872" customFormat="1" ht="24">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48">
      <c r="A94" s="876">
        <v>34</v>
      </c>
      <c r="B94" s="3295"/>
      <c r="C94" s="876" t="s">
        <v>683</v>
      </c>
      <c r="D94" s="812" t="s">
        <v>684</v>
      </c>
      <c r="E94" s="889">
        <v>0.2</v>
      </c>
      <c r="F94" s="876">
        <v>30</v>
      </c>
    </row>
    <row r="95" spans="1:6" s="872" customFormat="1" ht="36">
      <c r="A95" s="876">
        <v>35</v>
      </c>
      <c r="B95" s="3295"/>
      <c r="C95" s="876" t="s">
        <v>685</v>
      </c>
      <c r="D95" s="812" t="s">
        <v>686</v>
      </c>
      <c r="E95" s="889">
        <v>0.2</v>
      </c>
      <c r="F95" s="876">
        <v>30</v>
      </c>
    </row>
    <row r="96" spans="1:6" s="872" customFormat="1" ht="48">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24">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5" t="s">
        <v>708</v>
      </c>
      <c r="C105" s="876" t="s">
        <v>709</v>
      </c>
      <c r="D105" s="812" t="s">
        <v>710</v>
      </c>
      <c r="E105" s="889">
        <v>0.2</v>
      </c>
      <c r="F105" s="876">
        <v>30</v>
      </c>
    </row>
    <row r="106" spans="1:6" s="872" customFormat="1" ht="36">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36">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5" t="s">
        <v>724</v>
      </c>
      <c r="C111" s="876" t="s">
        <v>725</v>
      </c>
      <c r="D111" s="812" t="s">
        <v>726</v>
      </c>
      <c r="E111" s="889">
        <v>0.2</v>
      </c>
      <c r="F111" s="876">
        <v>30</v>
      </c>
    </row>
    <row r="112" spans="1:6" s="872" customFormat="1" ht="24">
      <c r="A112" s="876">
        <v>52</v>
      </c>
      <c r="B112" s="3295"/>
      <c r="C112" s="876" t="s">
        <v>727</v>
      </c>
      <c r="D112" s="812" t="s">
        <v>728</v>
      </c>
      <c r="E112" s="889">
        <v>0.2</v>
      </c>
      <c r="F112" s="876">
        <v>30</v>
      </c>
    </row>
    <row r="113" spans="1:6" s="872" customFormat="1" ht="24">
      <c r="A113" s="876">
        <v>53</v>
      </c>
      <c r="B113" s="329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0.91539999999999999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2960</v>
      </c>
    </row>
    <row r="2" spans="1:5" ht="15.75">
      <c r="A2" s="2898" t="s">
        <v>2952</v>
      </c>
      <c r="B2" s="2899">
        <f ca="1">SUMIF(B6:B13,"&lt;&gt;#ref!",B6:B13)</f>
        <v>86145</v>
      </c>
      <c r="C2" s="2898" t="s">
        <v>2953</v>
      </c>
      <c r="D2" s="2898" t="s">
        <v>2954</v>
      </c>
      <c r="E2" s="2899" t="e">
        <f ca="1">SUM(E6:E13)</f>
        <v>#REF!</v>
      </c>
    </row>
    <row r="3" spans="1:5" ht="15.75">
      <c r="A3" s="2898" t="s">
        <v>2955</v>
      </c>
      <c r="B3" s="2899" t="e">
        <f ca="1">ROUND(B2*10000/E2,0)</f>
        <v>#REF!</v>
      </c>
      <c r="C3" s="2898" t="s">
        <v>2961</v>
      </c>
      <c r="D3" s="2900"/>
      <c r="E3" s="2900"/>
    </row>
    <row r="4" spans="1:5" ht="15.75">
      <c r="A4" s="2901"/>
      <c r="B4" s="2900"/>
      <c r="C4" s="2900"/>
      <c r="D4" s="2900"/>
      <c r="E4" s="2900"/>
    </row>
    <row r="5" spans="1:5" ht="28.5">
      <c r="A5" s="2902" t="s">
        <v>2956</v>
      </c>
      <c r="B5" s="2898" t="s">
        <v>2957</v>
      </c>
      <c r="C5" s="2899"/>
      <c r="D5" s="2900"/>
      <c r="E5" s="2898" t="s">
        <v>2958</v>
      </c>
    </row>
    <row r="6" spans="1:5" ht="15.75">
      <c r="A6" s="2903" t="s">
        <v>2959</v>
      </c>
      <c r="B6" s="2899">
        <f ca="1">SUMIF(INDIRECT("'"&amp;A6&amp;"'"&amp;"!A:A"),"总价",INDIRECT("'"&amp;A6&amp;"'"&amp;"!B:B"))</f>
        <v>86145</v>
      </c>
      <c r="C6" s="2898" t="s">
        <v>2953</v>
      </c>
      <c r="D6" s="2900"/>
      <c r="E6" s="2568">
        <f ca="1">SUMIF(INDIRECT("'"&amp;A6&amp;"'"&amp;"!C:C"),"建筑面积",INDIRECT("'"&amp;A6&amp;"'"&amp;"!D:D"))</f>
        <v>45964.61</v>
      </c>
    </row>
    <row r="7" spans="1:5" ht="15.75">
      <c r="A7" s="2903"/>
      <c r="B7" s="2899" t="e">
        <f ca="1">SUMIF(INDIRECT("'"&amp;A7&amp;"'"&amp;"!A:A"),"总价",INDIRECT("'"&amp;A7&amp;"'"&amp;"!B:B"))</f>
        <v>#REF!</v>
      </c>
      <c r="C7" s="2898" t="s">
        <v>2953</v>
      </c>
      <c r="D7" s="2900"/>
      <c r="E7" s="2568" t="e">
        <f t="shared" ref="E7:E13" ca="1" si="0">SUMIF(INDIRECT("'"&amp;A7&amp;"'"&amp;"!C:C"),"建筑面积",INDIRECT("'"&amp;A7&amp;"'"&amp;"!D:D"))</f>
        <v>#REF!</v>
      </c>
    </row>
    <row r="8" spans="1:5" ht="15.75">
      <c r="A8" s="2903"/>
      <c r="B8" s="2899" t="e">
        <f t="shared" ref="B8:B13" ca="1" si="1">SUMIF(INDIRECT("'"&amp;A8&amp;"'"&amp;"!A:A"),"总价",INDIRECT("'"&amp;A8&amp;"'"&amp;"!B:B"))</f>
        <v>#REF!</v>
      </c>
      <c r="C8" s="2898" t="s">
        <v>2953</v>
      </c>
      <c r="D8" s="2900"/>
      <c r="E8" s="2568" t="e">
        <f t="shared" ca="1" si="0"/>
        <v>#REF!</v>
      </c>
    </row>
    <row r="9" spans="1:5" ht="15.75">
      <c r="A9" s="2903"/>
      <c r="B9" s="2899" t="e">
        <f t="shared" ca="1" si="1"/>
        <v>#REF!</v>
      </c>
      <c r="C9" s="2898" t="s">
        <v>2953</v>
      </c>
      <c r="D9" s="2900"/>
      <c r="E9" s="2568" t="e">
        <f t="shared" ca="1" si="0"/>
        <v>#REF!</v>
      </c>
    </row>
    <row r="10" spans="1:5" ht="15.75">
      <c r="A10" s="2903"/>
      <c r="B10" s="2899" t="e">
        <f t="shared" ca="1" si="1"/>
        <v>#REF!</v>
      </c>
      <c r="C10" s="2898" t="s">
        <v>2953</v>
      </c>
      <c r="D10" s="2900"/>
      <c r="E10" s="2568" t="e">
        <f t="shared" ca="1" si="0"/>
        <v>#REF!</v>
      </c>
    </row>
    <row r="11" spans="1:5" ht="15.75">
      <c r="A11" s="2903"/>
      <c r="B11" s="2899" t="e">
        <f t="shared" ca="1" si="1"/>
        <v>#REF!</v>
      </c>
      <c r="C11" s="2898" t="s">
        <v>2953</v>
      </c>
      <c r="D11" s="2900"/>
      <c r="E11" s="2568" t="e">
        <f t="shared" ca="1" si="0"/>
        <v>#REF!</v>
      </c>
    </row>
    <row r="12" spans="1:5" ht="15.75">
      <c r="A12" s="2903"/>
      <c r="B12" s="2899" t="e">
        <f t="shared" ca="1" si="1"/>
        <v>#REF!</v>
      </c>
      <c r="C12" s="2898" t="s">
        <v>2953</v>
      </c>
      <c r="D12" s="2900"/>
      <c r="E12" s="2568" t="e">
        <f t="shared" ca="1" si="0"/>
        <v>#REF!</v>
      </c>
    </row>
    <row r="13" spans="1:5" ht="15.75">
      <c r="A13" s="2903"/>
      <c r="B13" s="2899" t="e">
        <f t="shared" ca="1" si="1"/>
        <v>#REF!</v>
      </c>
      <c r="C13" s="2898" t="s">
        <v>2953</v>
      </c>
      <c r="D13" s="2900"/>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1" t="s">
        <v>1148</v>
      </c>
      <c r="C1" s="3301"/>
      <c r="D1" s="3301"/>
      <c r="E1" s="3301"/>
      <c r="F1" s="3301"/>
      <c r="G1" s="3297" t="s">
        <v>1149</v>
      </c>
      <c r="H1" s="3297"/>
      <c r="I1" s="3297"/>
      <c r="J1" s="3297"/>
      <c r="K1" s="3297"/>
      <c r="L1" s="3297"/>
      <c r="N1" s="3297" t="s">
        <v>1150</v>
      </c>
      <c r="O1" s="3297"/>
      <c r="P1" s="3297"/>
      <c r="Q1" s="3297"/>
      <c r="R1" s="1443"/>
      <c r="S1" s="3297" t="s">
        <v>1151</v>
      </c>
      <c r="T1" s="3297"/>
      <c r="U1" s="3297"/>
      <c r="V1" s="3297"/>
      <c r="X1" s="3296" t="s">
        <v>1152</v>
      </c>
      <c r="Y1" s="3297"/>
      <c r="Z1" s="3297"/>
      <c r="AA1" s="3297"/>
      <c r="AB1" s="3297"/>
      <c r="AD1" s="3296" t="s">
        <v>1153</v>
      </c>
      <c r="AE1" s="3297"/>
      <c r="AF1" s="3297"/>
      <c r="AG1" s="3297"/>
      <c r="AH1" s="3297"/>
    </row>
    <row r="2" spans="1:34" s="1444" customFormat="1" ht="14.25" thickBot="1">
      <c r="B2" s="1445" t="s">
        <v>1154</v>
      </c>
      <c r="C2" s="1445" t="s">
        <v>1155</v>
      </c>
      <c r="D2" s="1446" t="s">
        <v>1156</v>
      </c>
      <c r="E2" s="1446" t="s">
        <v>1157</v>
      </c>
      <c r="F2" s="1445" t="s">
        <v>1158</v>
      </c>
      <c r="G2" s="1447"/>
      <c r="H2" s="1448"/>
      <c r="I2" s="1445" t="s">
        <v>1154</v>
      </c>
      <c r="J2" s="1446" t="s">
        <v>1383</v>
      </c>
      <c r="K2" s="1446" t="s">
        <v>751</v>
      </c>
      <c r="L2" s="1445" t="s">
        <v>1158</v>
      </c>
      <c r="N2" s="1445" t="s">
        <v>1154</v>
      </c>
      <c r="O2" s="1446" t="s">
        <v>1383</v>
      </c>
      <c r="P2" s="1446" t="s">
        <v>751</v>
      </c>
      <c r="Q2" s="1445" t="s">
        <v>1158</v>
      </c>
      <c r="R2" s="1449"/>
      <c r="S2" s="1445" t="s">
        <v>1154</v>
      </c>
      <c r="T2" s="1446" t="s">
        <v>1383</v>
      </c>
      <c r="U2" s="1446" t="s">
        <v>751</v>
      </c>
      <c r="V2" s="1445" t="s">
        <v>1158</v>
      </c>
      <c r="X2" s="1445" t="s">
        <v>1154</v>
      </c>
      <c r="Y2" s="1445" t="s">
        <v>1155</v>
      </c>
      <c r="Z2" s="1446" t="s">
        <v>1156</v>
      </c>
      <c r="AA2" s="1446" t="s">
        <v>1157</v>
      </c>
      <c r="AB2" s="1445" t="s">
        <v>1158</v>
      </c>
      <c r="AD2" s="1445" t="s">
        <v>1154</v>
      </c>
      <c r="AE2" s="1445" t="s">
        <v>1155</v>
      </c>
      <c r="AF2" s="1446" t="s">
        <v>1156</v>
      </c>
      <c r="AG2" s="1446" t="s">
        <v>1157</v>
      </c>
      <c r="AH2" s="1445" t="s">
        <v>1158</v>
      </c>
    </row>
    <row r="3" spans="1:34" s="2917" customFormat="1" ht="14.25">
      <c r="A3" s="2926" t="s">
        <v>2999</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2998</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14">
        <v>2018</v>
      </c>
      <c r="H5" s="1727">
        <v>1</v>
      </c>
      <c r="I5" s="2912">
        <v>0</v>
      </c>
      <c r="J5" s="2912">
        <v>0</v>
      </c>
      <c r="K5" s="2912">
        <v>0</v>
      </c>
      <c r="L5" s="2912">
        <v>0</v>
      </c>
      <c r="N5" s="1464">
        <f t="shared" ref="N5:N10" si="7">I5/100</f>
        <v>0</v>
      </c>
      <c r="O5" s="1464">
        <f t="shared" ref="O5" si="8">J5/100</f>
        <v>0</v>
      </c>
      <c r="P5" s="1464">
        <f t="shared" ref="P5" si="9">K5/100</f>
        <v>0</v>
      </c>
      <c r="Q5" s="1464">
        <f t="shared" ref="Q5" si="10">L5/100</f>
        <v>0</v>
      </c>
      <c r="R5" s="1729"/>
      <c r="S5" s="1730"/>
      <c r="T5" s="1729"/>
      <c r="U5" s="1729"/>
      <c r="V5" s="1729"/>
      <c r="W5" s="2916" t="s">
        <v>3000</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5">
        <f>ROUND(AVERAGE(I5:I$21)/100,4)</f>
        <v>2.3E-2</v>
      </c>
      <c r="AE5" s="1465">
        <f>ROUND(AVERAGE(J5:J$21)/100,4)</f>
        <v>1.55E-2</v>
      </c>
      <c r="AF5" s="1465">
        <f t="shared" ref="AF5" si="12">AE5</f>
        <v>1.55E-2</v>
      </c>
      <c r="AG5" s="1465">
        <f>ROUND(AVERAGE(K5:K$21)/100,4)</f>
        <v>2.5499999999999998E-2</v>
      </c>
      <c r="AH5" s="1465">
        <f>ROUND(AVERAGE(L5:L$21)/100,4)</f>
        <v>1.3100000000000001E-2</v>
      </c>
    </row>
    <row r="6" spans="1:34">
      <c r="A6" s="1458" t="s">
        <v>2995</v>
      </c>
      <c r="B6" s="1466">
        <f t="shared" ref="B6" si="13">B7*(1+N6)</f>
        <v>439.19121308559727</v>
      </c>
      <c r="C6" s="1466">
        <f t="shared" ref="C6" si="14">C7*(1+O6)</f>
        <v>326.28510789673351</v>
      </c>
      <c r="D6" s="1466">
        <f t="shared" ref="D6" si="15">C6</f>
        <v>326.28510789673351</v>
      </c>
      <c r="E6" s="1466">
        <f t="shared" ref="E6" si="16">E7*(1+P6)</f>
        <v>626.49404043656455</v>
      </c>
      <c r="F6" s="1467">
        <f t="shared" ref="F6" si="17">F7*(1+Q6)</f>
        <v>283.46416215500358</v>
      </c>
      <c r="G6" s="2914">
        <v>2017</v>
      </c>
      <c r="H6" s="1459">
        <v>4</v>
      </c>
      <c r="I6" s="1459">
        <v>1.71</v>
      </c>
      <c r="J6" s="1459">
        <v>1.78</v>
      </c>
      <c r="K6" s="1459">
        <v>1.71</v>
      </c>
      <c r="L6" s="1460">
        <v>1.43</v>
      </c>
      <c r="N6" s="1469">
        <f t="shared" si="7"/>
        <v>1.7100000000000001E-2</v>
      </c>
      <c r="O6" s="1470">
        <f t="shared" ref="O6" si="18">J6/100</f>
        <v>1.78E-2</v>
      </c>
      <c r="P6" s="1470">
        <f t="shared" ref="P6" si="19">K6/100</f>
        <v>1.7100000000000001E-2</v>
      </c>
      <c r="Q6" s="1470">
        <f t="shared" ref="Q6" si="20">L6/100</f>
        <v>1.43E-2</v>
      </c>
      <c r="R6" s="1471"/>
      <c r="S6" s="1472"/>
      <c r="T6" s="1473"/>
      <c r="U6" s="1473"/>
      <c r="V6" s="1473"/>
      <c r="X6" s="1456">
        <f>ROUND(SUMPRODUCT(PRODUCT(1+N6:N$20)),4)</f>
        <v>1.4274</v>
      </c>
      <c r="Y6" s="1456">
        <f>ROUND(SUMPRODUCT(PRODUCT(1+O6:O$20)),4)</f>
        <v>1.2685</v>
      </c>
      <c r="Z6" s="1456">
        <f t="shared" si="0"/>
        <v>1.2685</v>
      </c>
      <c r="AA6" s="1456">
        <f>ROUND(SUMPRODUCT(PRODUCT(1+P6:P$20)),4)</f>
        <v>1.4825999999999999</v>
      </c>
      <c r="AB6" s="1456">
        <f>ROUND(SUMPRODUCT(PRODUCT(1+Q6:Q$20)),4)</f>
        <v>1.2309000000000001</v>
      </c>
      <c r="AD6" s="1457">
        <f>ROUND(AVERAGE(I6:I$21)/100,4)</f>
        <v>2.4500000000000001E-2</v>
      </c>
      <c r="AE6" s="1457">
        <f>ROUND(AVERAGE(J6:J$21)/100,4)</f>
        <v>1.6500000000000001E-2</v>
      </c>
      <c r="AF6" s="1457">
        <f t="shared" si="1"/>
        <v>1.6500000000000001E-2</v>
      </c>
      <c r="AG6" s="1457">
        <f>ROUND(AVERAGE(K6:K$21)/100,4)</f>
        <v>2.7099999999999999E-2</v>
      </c>
      <c r="AH6" s="1457">
        <f>ROUND(AVERAGE(L6:L$21)/100,4)</f>
        <v>1.3899999999999999E-2</v>
      </c>
    </row>
    <row r="7" spans="1:34" s="1463" customFormat="1" ht="13.5" thickBot="1">
      <c r="A7" s="1458" t="s">
        <v>2996</v>
      </c>
      <c r="B7" s="1474">
        <f t="shared" ref="B7:B8" si="21">B8*(1+N7)</f>
        <v>431.80730811680002</v>
      </c>
      <c r="C7" s="1474">
        <f t="shared" ref="C7:C8" si="22">C8*(1+O7)</f>
        <v>320.57880516480003</v>
      </c>
      <c r="D7" s="1474">
        <f t="shared" ref="D7:D8" si="23">C7</f>
        <v>320.57880516480003</v>
      </c>
      <c r="E7" s="1474">
        <f t="shared" ref="E7:E8" si="24">E8*(1+P7)</f>
        <v>615.96110553196797</v>
      </c>
      <c r="F7" s="1474">
        <f t="shared" ref="F7:F8" si="25">F8*(1+Q7)</f>
        <v>279.46777300108801</v>
      </c>
      <c r="G7" s="2910"/>
      <c r="H7" s="1461">
        <v>3</v>
      </c>
      <c r="I7" s="1461">
        <v>2.98</v>
      </c>
      <c r="J7" s="1461">
        <v>2.11</v>
      </c>
      <c r="K7" s="1461">
        <v>3.24</v>
      </c>
      <c r="L7" s="1475">
        <v>1.72</v>
      </c>
      <c r="M7" s="1468"/>
      <c r="N7" s="1469">
        <f t="shared" si="7"/>
        <v>2.98E-2</v>
      </c>
      <c r="O7" s="1470">
        <f t="shared" ref="O7" si="26">J7/100</f>
        <v>2.1099999999999997E-2</v>
      </c>
      <c r="P7" s="1470">
        <f t="shared" ref="P7" si="27">K7/100</f>
        <v>3.2400000000000005E-2</v>
      </c>
      <c r="Q7" s="1470">
        <f t="shared" ref="Q7" si="28">L7/100</f>
        <v>1.72E-2</v>
      </c>
      <c r="R7" s="1471"/>
      <c r="S7" s="1469"/>
      <c r="T7" s="1470"/>
      <c r="U7" s="1470"/>
      <c r="V7" s="1470"/>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8" t="s">
        <v>1384</v>
      </c>
      <c r="B8" s="1474">
        <f t="shared" si="21"/>
        <v>419.31181600000002</v>
      </c>
      <c r="C8" s="1474">
        <f t="shared" si="22"/>
        <v>313.95436800000004</v>
      </c>
      <c r="D8" s="1474">
        <f t="shared" si="23"/>
        <v>313.95436800000004</v>
      </c>
      <c r="E8" s="1474">
        <f t="shared" si="24"/>
        <v>596.63028431999999</v>
      </c>
      <c r="F8" s="1474">
        <f t="shared" si="25"/>
        <v>274.74220703999998</v>
      </c>
      <c r="G8" s="2909"/>
      <c r="H8" s="1462">
        <v>2</v>
      </c>
      <c r="I8" s="1462">
        <v>3.4</v>
      </c>
      <c r="J8" s="1462">
        <v>2</v>
      </c>
      <c r="K8" s="1462">
        <v>3.82</v>
      </c>
      <c r="L8" s="1476">
        <v>1.68</v>
      </c>
      <c r="M8" s="1468"/>
      <c r="N8" s="1469">
        <f t="shared" si="7"/>
        <v>3.4000000000000002E-2</v>
      </c>
      <c r="O8" s="1470">
        <f t="shared" ref="O8" si="29">J8/100</f>
        <v>0.02</v>
      </c>
      <c r="P8" s="1470">
        <f t="shared" ref="P8" si="30">K8/100</f>
        <v>3.8199999999999998E-2</v>
      </c>
      <c r="Q8" s="1470">
        <f t="shared" ref="Q8" si="31">L8/100</f>
        <v>1.6799999999999999E-2</v>
      </c>
      <c r="R8" s="1471"/>
      <c r="S8" s="1472"/>
      <c r="T8" s="1473"/>
      <c r="U8" s="1473"/>
      <c r="V8" s="1473"/>
      <c r="W8" s="1450"/>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0"/>
      <c r="AD8" s="1786">
        <f>ROUND(AVERAGE(I8:I$21)/100,4)</f>
        <v>2.46E-2</v>
      </c>
      <c r="AE8" s="1786">
        <f>ROUND(AVERAGE(J8:J$21)/100,4)</f>
        <v>1.6E-2</v>
      </c>
      <c r="AF8" s="1786">
        <f t="shared" si="1"/>
        <v>1.6E-2</v>
      </c>
      <c r="AG8" s="1786">
        <f>ROUND(AVERAGE(K8:K$21)/100,4)</f>
        <v>2.75E-2</v>
      </c>
      <c r="AH8" s="1786">
        <f>ROUND(AVERAGE(L8:L$21)/100,4)</f>
        <v>1.37E-2</v>
      </c>
    </row>
    <row r="9" spans="1:34" s="1463" customFormat="1" ht="13.5" thickBot="1">
      <c r="A9" s="1458" t="s">
        <v>1159</v>
      </c>
      <c r="B9" s="1474">
        <f>B10*(1+N9)</f>
        <v>405.524</v>
      </c>
      <c r="C9" s="1474">
        <f>C10*(1+O9)</f>
        <v>307.79840000000002</v>
      </c>
      <c r="D9" s="1474">
        <f>C9</f>
        <v>307.79840000000002</v>
      </c>
      <c r="E9" s="1474">
        <f>E10*(1+P9)</f>
        <v>574.67759999999998</v>
      </c>
      <c r="F9" s="1474">
        <f>F10*(1+Q9)</f>
        <v>270.20280000000002</v>
      </c>
      <c r="G9" s="2910"/>
      <c r="H9" s="1461">
        <v>1</v>
      </c>
      <c r="I9" s="1461">
        <v>3.45</v>
      </c>
      <c r="J9" s="1461">
        <v>1.92</v>
      </c>
      <c r="K9" s="1461">
        <v>3.92</v>
      </c>
      <c r="L9" s="1475">
        <v>1.58</v>
      </c>
      <c r="M9" s="1468"/>
      <c r="N9" s="1469">
        <f t="shared" si="7"/>
        <v>3.4500000000000003E-2</v>
      </c>
      <c r="O9" s="1470">
        <f t="shared" ref="O9:Q24" si="32">J9/100</f>
        <v>1.9199999999999998E-2</v>
      </c>
      <c r="P9" s="1470">
        <f t="shared" si="32"/>
        <v>3.9199999999999999E-2</v>
      </c>
      <c r="Q9" s="1470">
        <f t="shared" si="32"/>
        <v>1.5800000000000002E-2</v>
      </c>
      <c r="R9" s="1471"/>
      <c r="S9" s="1469">
        <f>B9/B10-1</f>
        <v>3.4499999999999975E-2</v>
      </c>
      <c r="T9" s="1470">
        <f t="shared" ref="T9:V9" si="33">C9/C10-1</f>
        <v>1.9200000000000106E-2</v>
      </c>
      <c r="U9" s="1470">
        <f t="shared" si="33"/>
        <v>1.9200000000000106E-2</v>
      </c>
      <c r="V9" s="1470">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8" t="s">
        <v>154</v>
      </c>
      <c r="B10" s="1466">
        <v>392</v>
      </c>
      <c r="C10" s="1466">
        <v>302</v>
      </c>
      <c r="D10" s="1466">
        <f>C10</f>
        <v>302</v>
      </c>
      <c r="E10" s="1466">
        <v>553</v>
      </c>
      <c r="F10" s="1467">
        <v>266</v>
      </c>
      <c r="G10" s="3302">
        <v>2016</v>
      </c>
      <c r="H10" s="1459">
        <v>4</v>
      </c>
      <c r="I10" s="1459">
        <v>4.5599999999999996</v>
      </c>
      <c r="J10" s="1459">
        <v>2.15</v>
      </c>
      <c r="K10" s="1459">
        <v>5.32</v>
      </c>
      <c r="L10" s="1460">
        <v>1.57</v>
      </c>
      <c r="N10" s="1469">
        <f t="shared" si="7"/>
        <v>4.5599999999999995E-2</v>
      </c>
      <c r="O10" s="1470">
        <f t="shared" si="32"/>
        <v>2.1499999999999998E-2</v>
      </c>
      <c r="P10" s="1470">
        <f t="shared" si="32"/>
        <v>5.3200000000000004E-2</v>
      </c>
      <c r="Q10" s="1470">
        <f t="shared" si="32"/>
        <v>1.5700000000000002E-2</v>
      </c>
      <c r="R10" s="1471"/>
      <c r="S10" s="1472"/>
      <c r="T10" s="1473"/>
      <c r="U10" s="1473"/>
      <c r="V10" s="1473"/>
      <c r="X10" s="1456">
        <f>ROUND(SUMPRODUCT(PRODUCT(1+N10:N$20)),4)</f>
        <v>1.274</v>
      </c>
      <c r="Y10" s="1456">
        <f>ROUND(SUMPRODUCT(PRODUCT(1+O10:O$20)),4)</f>
        <v>1.1740999999999999</v>
      </c>
      <c r="Z10" s="1456">
        <f t="shared" si="0"/>
        <v>1.1740999999999999</v>
      </c>
      <c r="AA10" s="1456">
        <f>ROUND(SUMPRODUCT(PRODUCT(1+P10:P$20)),4)</f>
        <v>1.3087</v>
      </c>
      <c r="AB10" s="1456">
        <f>ROUND(SUMPRODUCT(PRODUCT(1+Q10:Q$20)),4)</f>
        <v>1.1551</v>
      </c>
      <c r="AD10" s="1457">
        <f>ROUND(AVERAGE(I10:I$21)/100,4)</f>
        <v>2.3E-2</v>
      </c>
      <c r="AE10" s="1457">
        <f>ROUND(AVERAGE(J10:J$21)/100,4)</f>
        <v>1.55E-2</v>
      </c>
      <c r="AF10" s="1457">
        <f t="shared" si="1"/>
        <v>1.55E-2</v>
      </c>
      <c r="AG10" s="1457">
        <f>ROUND(AVERAGE(K10:K$21)/100,4)</f>
        <v>2.5600000000000001E-2</v>
      </c>
      <c r="AH10" s="1457">
        <f>ROUND(AVERAGE(L10:L$21)/100,4)</f>
        <v>1.32E-2</v>
      </c>
    </row>
    <row r="11" spans="1:34">
      <c r="A11" s="1458" t="s">
        <v>153</v>
      </c>
      <c r="B11" s="1474">
        <f t="shared" ref="B11:C13" si="34">B10/(1+N10)</f>
        <v>374.90436113236416</v>
      </c>
      <c r="C11" s="1474">
        <f t="shared" si="34"/>
        <v>295.64366128242779</v>
      </c>
      <c r="D11" s="1474">
        <f t="shared" ref="D11:D70" si="35">C11</f>
        <v>295.64366128242779</v>
      </c>
      <c r="E11" s="1474">
        <f t="shared" ref="E11:F13" si="36">E10/(1+P10)</f>
        <v>525.06646410938095</v>
      </c>
      <c r="F11" s="1474">
        <f t="shared" si="36"/>
        <v>261.88835286009646</v>
      </c>
      <c r="G11" s="3299"/>
      <c r="H11" s="1461">
        <v>3</v>
      </c>
      <c r="I11" s="1461">
        <v>4.12</v>
      </c>
      <c r="J11" s="1461">
        <v>2</v>
      </c>
      <c r="K11" s="1461">
        <v>4.79</v>
      </c>
      <c r="L11" s="1475">
        <v>1.97</v>
      </c>
      <c r="N11" s="1469">
        <f t="shared" ref="N11:Q45" si="37">I11/100</f>
        <v>4.1200000000000001E-2</v>
      </c>
      <c r="O11" s="1470">
        <f t="shared" si="32"/>
        <v>0.02</v>
      </c>
      <c r="P11" s="1470">
        <f t="shared" si="32"/>
        <v>4.7899999999999998E-2</v>
      </c>
      <c r="Q11" s="1470">
        <f t="shared" si="32"/>
        <v>1.9699999999999999E-2</v>
      </c>
      <c r="R11" s="1471"/>
      <c r="S11" s="1469"/>
      <c r="T11" s="1470"/>
      <c r="U11" s="1470"/>
      <c r="V11" s="1470"/>
      <c r="X11" s="1456">
        <f>ROUND(SUMPRODUCT(PRODUCT(1+N11:N$20)),4)</f>
        <v>1.2184999999999999</v>
      </c>
      <c r="Y11" s="1456">
        <f>ROUND(SUMPRODUCT(PRODUCT(1+O11:O$20)),4)</f>
        <v>1.1494</v>
      </c>
      <c r="Z11" s="1456">
        <f t="shared" si="0"/>
        <v>1.1494</v>
      </c>
      <c r="AA11" s="1456">
        <f>ROUND(SUMPRODUCT(PRODUCT(1+P11:P$20)),4)</f>
        <v>1.2425999999999999</v>
      </c>
      <c r="AB11" s="1456">
        <f>ROUND(SUMPRODUCT(PRODUCT(1+Q11:Q$20)),4)</f>
        <v>1.1372</v>
      </c>
      <c r="AD11" s="1457">
        <f>ROUND(AVERAGE(I11:I$21)/100,4)</f>
        <v>2.0899999999999998E-2</v>
      </c>
      <c r="AE11" s="1457">
        <f>ROUND(AVERAGE(J11:J$21)/100,4)</f>
        <v>1.49E-2</v>
      </c>
      <c r="AF11" s="1457">
        <f t="shared" si="1"/>
        <v>1.49E-2</v>
      </c>
      <c r="AG11" s="1457">
        <f>ROUND(AVERAGE(K11:K$21)/100,4)</f>
        <v>2.3099999999999999E-2</v>
      </c>
      <c r="AH11" s="1457">
        <f>ROUND(AVERAGE(L11:L$21)/100,4)</f>
        <v>1.2999999999999999E-2</v>
      </c>
    </row>
    <row r="12" spans="1:34">
      <c r="A12" s="1458" t="s">
        <v>143</v>
      </c>
      <c r="B12" s="1474">
        <f t="shared" si="34"/>
        <v>360.06949782209392</v>
      </c>
      <c r="C12" s="1474">
        <f t="shared" si="34"/>
        <v>289.84672674747821</v>
      </c>
      <c r="D12" s="1474">
        <f t="shared" si="35"/>
        <v>289.84672674747821</v>
      </c>
      <c r="E12" s="1474">
        <f t="shared" si="36"/>
        <v>501.06543001181495</v>
      </c>
      <c r="F12" s="1474">
        <f t="shared" si="36"/>
        <v>256.82882500744967</v>
      </c>
      <c r="G12" s="3299"/>
      <c r="H12" s="1462">
        <v>2</v>
      </c>
      <c r="I12" s="1462">
        <v>3.85</v>
      </c>
      <c r="J12" s="1462">
        <v>1.95</v>
      </c>
      <c r="K12" s="1462">
        <v>4.4800000000000004</v>
      </c>
      <c r="L12" s="1476">
        <v>1.41</v>
      </c>
      <c r="N12" s="1469">
        <f t="shared" si="37"/>
        <v>3.85E-2</v>
      </c>
      <c r="O12" s="1470">
        <f t="shared" si="32"/>
        <v>1.95E-2</v>
      </c>
      <c r="P12" s="1470">
        <f t="shared" si="32"/>
        <v>4.4800000000000006E-2</v>
      </c>
      <c r="Q12" s="1470">
        <f t="shared" si="32"/>
        <v>1.41E-2</v>
      </c>
      <c r="R12" s="1471"/>
      <c r="S12" s="1469"/>
      <c r="T12" s="1470"/>
      <c r="U12" s="1470"/>
      <c r="V12" s="1470"/>
      <c r="X12" s="1456">
        <f>ROUND(SUMPRODUCT(PRODUCT(1+N12:N$20)),4)</f>
        <v>1.1702999999999999</v>
      </c>
      <c r="Y12" s="1456">
        <f>ROUND(SUMPRODUCT(PRODUCT(1+O12:O$20)),4)</f>
        <v>1.1269</v>
      </c>
      <c r="Z12" s="1456">
        <f t="shared" si="0"/>
        <v>1.1269</v>
      </c>
      <c r="AA12" s="1456">
        <f>ROUND(SUMPRODUCT(PRODUCT(1+P12:P$20)),4)</f>
        <v>1.1858</v>
      </c>
      <c r="AB12" s="1456">
        <f>ROUND(SUMPRODUCT(PRODUCT(1+Q12:Q$20)),4)</f>
        <v>1.1152</v>
      </c>
      <c r="AD12" s="1457">
        <f>ROUND(AVERAGE(I12:I$21)/100,4)</f>
        <v>1.89E-2</v>
      </c>
      <c r="AE12" s="1457">
        <f>ROUND(AVERAGE(J12:J$21)/100,4)</f>
        <v>1.44E-2</v>
      </c>
      <c r="AF12" s="1457">
        <f t="shared" si="1"/>
        <v>1.44E-2</v>
      </c>
      <c r="AG12" s="1457">
        <f>ROUND(AVERAGE(K12:K$21)/100,4)</f>
        <v>2.06E-2</v>
      </c>
      <c r="AH12" s="1457">
        <f>ROUND(AVERAGE(L12:L$21)/100,4)</f>
        <v>1.23E-2</v>
      </c>
    </row>
    <row r="13" spans="1:34" ht="13.5" thickBot="1">
      <c r="A13" s="1458" t="s">
        <v>152</v>
      </c>
      <c r="B13" s="1474">
        <f t="shared" si="34"/>
        <v>346.720748986128</v>
      </c>
      <c r="C13" s="1474">
        <f t="shared" si="34"/>
        <v>284.30282172386285</v>
      </c>
      <c r="D13" s="1474">
        <f t="shared" si="35"/>
        <v>284.30282172386285</v>
      </c>
      <c r="E13" s="1474">
        <f t="shared" si="36"/>
        <v>479.58023546306947</v>
      </c>
      <c r="F13" s="1474">
        <f t="shared" si="36"/>
        <v>253.25788877571213</v>
      </c>
      <c r="G13" s="3300"/>
      <c r="H13" s="1461">
        <v>1</v>
      </c>
      <c r="I13" s="1461">
        <v>4.09</v>
      </c>
      <c r="J13" s="1461">
        <v>2.93</v>
      </c>
      <c r="K13" s="1461">
        <v>4.54</v>
      </c>
      <c r="L13" s="1475">
        <v>1.48</v>
      </c>
      <c r="N13" s="1469">
        <f t="shared" si="37"/>
        <v>4.0899999999999999E-2</v>
      </c>
      <c r="O13" s="1470">
        <f t="shared" si="32"/>
        <v>2.9300000000000003E-2</v>
      </c>
      <c r="P13" s="1470">
        <f t="shared" si="32"/>
        <v>4.5400000000000003E-2</v>
      </c>
      <c r="Q13" s="1470">
        <f t="shared" si="32"/>
        <v>1.4800000000000001E-2</v>
      </c>
      <c r="R13" s="1471"/>
      <c r="S13" s="1477">
        <f>B13/B14-1</f>
        <v>4.1203450408792808E-2</v>
      </c>
      <c r="T13" s="1478">
        <f>C13/C14-1</f>
        <v>2.6363977342465095E-2</v>
      </c>
      <c r="U13" s="1478">
        <f>E13/E14-1</f>
        <v>4.4837114298626357E-2</v>
      </c>
      <c r="V13" s="1478">
        <f>F13/F14-1</f>
        <v>1.7099954922538574E-2</v>
      </c>
      <c r="X13" s="1456">
        <f>ROUND(SUMPRODUCT(PRODUCT(1+N13:N$20)),4)</f>
        <v>1.1269</v>
      </c>
      <c r="Y13" s="1456">
        <f>ROUND(SUMPRODUCT(PRODUCT(1+O13:O$20)),4)</f>
        <v>1.1052999999999999</v>
      </c>
      <c r="Z13" s="1456">
        <f t="shared" si="0"/>
        <v>1.1052999999999999</v>
      </c>
      <c r="AA13" s="1456">
        <f>ROUND(SUMPRODUCT(PRODUCT(1+P13:P$20)),4)</f>
        <v>1.1349</v>
      </c>
      <c r="AB13" s="1456">
        <f>ROUND(SUMPRODUCT(PRODUCT(1+Q13:Q$20)),4)</f>
        <v>1.0996999999999999</v>
      </c>
      <c r="AD13" s="1457">
        <f>ROUND(AVERAGE(I13:I$21)/100,4)</f>
        <v>1.67E-2</v>
      </c>
      <c r="AE13" s="1457">
        <f>ROUND(AVERAGE(J13:J$21)/100,4)</f>
        <v>1.38E-2</v>
      </c>
      <c r="AF13" s="1457">
        <f t="shared" si="1"/>
        <v>1.38E-2</v>
      </c>
      <c r="AG13" s="1457">
        <f>ROUND(AVERAGE(K13:K$21)/100,4)</f>
        <v>1.7899999999999999E-2</v>
      </c>
      <c r="AH13" s="1457">
        <f>ROUND(AVERAGE(L13:L$21)/100,4)</f>
        <v>1.21E-2</v>
      </c>
    </row>
    <row r="14" spans="1:34" ht="13.5" thickBot="1">
      <c r="A14" s="1458" t="s">
        <v>151</v>
      </c>
      <c r="B14" s="1466">
        <v>333</v>
      </c>
      <c r="C14" s="1466">
        <v>277</v>
      </c>
      <c r="D14" s="1466">
        <f t="shared" si="35"/>
        <v>277</v>
      </c>
      <c r="E14" s="1466">
        <v>459</v>
      </c>
      <c r="F14" s="1467">
        <v>249</v>
      </c>
      <c r="G14" s="3298">
        <v>2015</v>
      </c>
      <c r="H14" s="1479">
        <v>4</v>
      </c>
      <c r="I14" s="1479">
        <v>1.63</v>
      </c>
      <c r="J14" s="1479">
        <v>1.1100000000000001</v>
      </c>
      <c r="K14" s="1479">
        <v>1.77</v>
      </c>
      <c r="L14" s="1480">
        <v>1.89</v>
      </c>
      <c r="N14" s="1481">
        <f t="shared" si="37"/>
        <v>1.6299999999999999E-2</v>
      </c>
      <c r="O14" s="1482">
        <f t="shared" si="32"/>
        <v>1.11E-2</v>
      </c>
      <c r="P14" s="1482">
        <f t="shared" si="32"/>
        <v>1.77E-2</v>
      </c>
      <c r="Q14" s="1482">
        <f t="shared" si="32"/>
        <v>1.89E-2</v>
      </c>
      <c r="R14" s="1471"/>
      <c r="X14" s="1456">
        <f>ROUND(SUMPRODUCT(PRODUCT(1+N14:N$20)),4)</f>
        <v>1.0826</v>
      </c>
      <c r="Y14" s="1456">
        <f>ROUND(SUMPRODUCT(PRODUCT(1+O14:O$20)),4)</f>
        <v>1.0738000000000001</v>
      </c>
      <c r="Z14" s="1456">
        <f t="shared" si="0"/>
        <v>1.0738000000000001</v>
      </c>
      <c r="AA14" s="1456">
        <f>ROUND(SUMPRODUCT(PRODUCT(1+P14:P$20)),4)</f>
        <v>1.0855999999999999</v>
      </c>
      <c r="AB14" s="1456">
        <f>ROUND(SUMPRODUCT(PRODUCT(1+Q14:Q$20)),4)</f>
        <v>1.0837000000000001</v>
      </c>
      <c r="AD14" s="1457">
        <f>ROUND(AVERAGE(I14:I$21)/100,4)</f>
        <v>1.37E-2</v>
      </c>
      <c r="AE14" s="1457">
        <f>ROUND(AVERAGE(J14:J$21)/100,4)</f>
        <v>1.1900000000000001E-2</v>
      </c>
      <c r="AF14" s="1457">
        <f t="shared" si="1"/>
        <v>1.1900000000000001E-2</v>
      </c>
      <c r="AG14" s="1457">
        <f>ROUND(AVERAGE(K14:K$21)/100,4)</f>
        <v>1.4500000000000001E-2</v>
      </c>
      <c r="AH14" s="1457">
        <f>ROUND(AVERAGE(L14:L$21)/100,4)</f>
        <v>1.18E-2</v>
      </c>
    </row>
    <row r="15" spans="1:34">
      <c r="A15" s="1458" t="s">
        <v>150</v>
      </c>
      <c r="B15" s="1474">
        <f t="shared" ref="B15:C17" si="38">B14/(1+N14)</f>
        <v>327.65915576109415</v>
      </c>
      <c r="C15" s="1474">
        <f t="shared" si="38"/>
        <v>273.95905449510434</v>
      </c>
      <c r="D15" s="1474">
        <f t="shared" si="35"/>
        <v>273.95905449510434</v>
      </c>
      <c r="E15" s="1474">
        <f t="shared" ref="E15:F17" si="39">E14/(1+P14)</f>
        <v>451.01699911565294</v>
      </c>
      <c r="F15" s="1474">
        <f t="shared" si="39"/>
        <v>244.38119540681129</v>
      </c>
      <c r="G15" s="3299"/>
      <c r="H15" s="1484">
        <v>3</v>
      </c>
      <c r="I15" s="1484">
        <v>1.65</v>
      </c>
      <c r="J15" s="1484">
        <v>0.92</v>
      </c>
      <c r="K15" s="1484">
        <v>1.88</v>
      </c>
      <c r="L15" s="1485">
        <v>1.26</v>
      </c>
      <c r="N15" s="1469">
        <f t="shared" si="37"/>
        <v>1.6500000000000001E-2</v>
      </c>
      <c r="O15" s="1486">
        <f t="shared" si="32"/>
        <v>9.1999999999999998E-3</v>
      </c>
      <c r="P15" s="1486">
        <f t="shared" si="32"/>
        <v>1.8799999999999997E-2</v>
      </c>
      <c r="Q15" s="1486">
        <f t="shared" si="32"/>
        <v>1.26E-2</v>
      </c>
      <c r="R15" s="1471"/>
      <c r="S15" s="1469"/>
      <c r="T15" s="1470"/>
      <c r="U15" s="1470"/>
      <c r="V15" s="1470"/>
      <c r="X15" s="1456">
        <f>ROUND(SUMPRODUCT(PRODUCT(1+N15:N$20)),4)</f>
        <v>1.0651999999999999</v>
      </c>
      <c r="Y15" s="1456">
        <f>ROUND(SUMPRODUCT(PRODUCT(1+O15:O$20)),4)</f>
        <v>1.0621</v>
      </c>
      <c r="Z15" s="1456">
        <f t="shared" si="0"/>
        <v>1.0621</v>
      </c>
      <c r="AA15" s="1456">
        <f>ROUND(SUMPRODUCT(PRODUCT(1+P15:P$20)),4)</f>
        <v>1.0668</v>
      </c>
      <c r="AB15" s="1456">
        <f>ROUND(SUMPRODUCT(PRODUCT(1+Q15:Q$20)),4)</f>
        <v>1.0636000000000001</v>
      </c>
      <c r="AD15" s="1457">
        <f>ROUND(AVERAGE(I15:I$21)/100,4)</f>
        <v>1.3299999999999999E-2</v>
      </c>
      <c r="AE15" s="1457">
        <f>ROUND(AVERAGE(J15:J$21)/100,4)</f>
        <v>1.2E-2</v>
      </c>
      <c r="AF15" s="1457">
        <f t="shared" si="1"/>
        <v>1.2E-2</v>
      </c>
      <c r="AG15" s="1457">
        <f>ROUND(AVERAGE(K15:K$21)/100,4)</f>
        <v>1.4E-2</v>
      </c>
      <c r="AH15" s="1457">
        <f>ROUND(AVERAGE(L15:L$21)/100,4)</f>
        <v>1.0800000000000001E-2</v>
      </c>
    </row>
    <row r="16" spans="1:34">
      <c r="A16" s="1458" t="s">
        <v>149</v>
      </c>
      <c r="B16" s="1474">
        <f t="shared" si="38"/>
        <v>322.34053690220776</v>
      </c>
      <c r="C16" s="1474">
        <f t="shared" si="38"/>
        <v>271.46160770422546</v>
      </c>
      <c r="D16" s="1474">
        <f t="shared" si="35"/>
        <v>271.46160770422546</v>
      </c>
      <c r="E16" s="1474">
        <f t="shared" si="39"/>
        <v>442.69434542172456</v>
      </c>
      <c r="F16" s="1474">
        <f t="shared" si="39"/>
        <v>241.34030753190925</v>
      </c>
      <c r="G16" s="3299"/>
      <c r="H16" s="1462">
        <v>2</v>
      </c>
      <c r="I16" s="1462">
        <v>0.77</v>
      </c>
      <c r="J16" s="1462">
        <v>0.69</v>
      </c>
      <c r="K16" s="1462">
        <v>0.8</v>
      </c>
      <c r="L16" s="1476">
        <v>0.88</v>
      </c>
      <c r="N16" s="1469">
        <f t="shared" si="37"/>
        <v>7.7000000000000002E-3</v>
      </c>
      <c r="O16" s="1486">
        <f t="shared" si="32"/>
        <v>6.8999999999999999E-3</v>
      </c>
      <c r="P16" s="1486">
        <f t="shared" si="32"/>
        <v>8.0000000000000002E-3</v>
      </c>
      <c r="Q16" s="1486">
        <f t="shared" si="32"/>
        <v>8.8000000000000005E-3</v>
      </c>
      <c r="R16" s="1471"/>
      <c r="S16" s="1469"/>
      <c r="T16" s="1470"/>
      <c r="U16" s="1470"/>
      <c r="V16" s="1470"/>
      <c r="X16" s="1456">
        <f>ROUND(SUMPRODUCT(PRODUCT(1+N16:N$20)),4)</f>
        <v>1.048</v>
      </c>
      <c r="Y16" s="1456">
        <f>ROUND(SUMPRODUCT(PRODUCT(1+O16:O$20)),4)</f>
        <v>1.0524</v>
      </c>
      <c r="Z16" s="1456">
        <f t="shared" si="0"/>
        <v>1.0524</v>
      </c>
      <c r="AA16" s="1456">
        <f>ROUND(SUMPRODUCT(PRODUCT(1+P16:P$20)),4)</f>
        <v>1.0470999999999999</v>
      </c>
      <c r="AB16" s="1456">
        <f>ROUND(SUMPRODUCT(PRODUCT(1+Q16:Q$20)),4)</f>
        <v>1.0504</v>
      </c>
      <c r="AD16" s="1457">
        <f>ROUND(AVERAGE(I16:I$21)/100,4)</f>
        <v>1.2800000000000001E-2</v>
      </c>
      <c r="AE16" s="1457">
        <f>ROUND(AVERAGE(J16:J$21)/100,4)</f>
        <v>1.2500000000000001E-2</v>
      </c>
      <c r="AF16" s="1457">
        <f t="shared" si="1"/>
        <v>1.2500000000000001E-2</v>
      </c>
      <c r="AG16" s="1457">
        <f>ROUND(AVERAGE(K16:K$21)/100,4)</f>
        <v>1.32E-2</v>
      </c>
      <c r="AH16" s="1457">
        <f>ROUND(AVERAGE(L16:L$21)/100,4)</f>
        <v>1.0500000000000001E-2</v>
      </c>
    </row>
    <row r="17" spans="1:34">
      <c r="A17" s="1458" t="s">
        <v>148</v>
      </c>
      <c r="B17" s="1474">
        <f t="shared" si="38"/>
        <v>319.87748030386797</v>
      </c>
      <c r="C17" s="1474">
        <f t="shared" si="38"/>
        <v>269.60135833173649</v>
      </c>
      <c r="D17" s="1474">
        <f t="shared" si="35"/>
        <v>269.60135833173649</v>
      </c>
      <c r="E17" s="1474">
        <f t="shared" si="39"/>
        <v>439.18089823583784</v>
      </c>
      <c r="F17" s="1474">
        <f t="shared" si="39"/>
        <v>239.23503918706311</v>
      </c>
      <c r="G17" s="3300"/>
      <c r="H17" s="1461">
        <v>1</v>
      </c>
      <c r="I17" s="1461">
        <v>0.51</v>
      </c>
      <c r="J17" s="1461">
        <v>0.54</v>
      </c>
      <c r="K17" s="1461">
        <v>0.48</v>
      </c>
      <c r="L17" s="1475">
        <v>0.93</v>
      </c>
      <c r="N17" s="1477">
        <f t="shared" si="37"/>
        <v>5.1000000000000004E-3</v>
      </c>
      <c r="O17" s="1478">
        <f t="shared" si="32"/>
        <v>5.4000000000000003E-3</v>
      </c>
      <c r="P17" s="1478">
        <f t="shared" si="32"/>
        <v>4.7999999999999996E-3</v>
      </c>
      <c r="Q17" s="1478">
        <f t="shared" si="32"/>
        <v>9.300000000000001E-3</v>
      </c>
      <c r="R17" s="1471"/>
      <c r="S17" s="1477">
        <f>B17/B18-1</f>
        <v>5.9040261127922822E-3</v>
      </c>
      <c r="T17" s="1478">
        <f>C17/C18-1</f>
        <v>5.9752176557332781E-3</v>
      </c>
      <c r="U17" s="1478">
        <f>E17/E18-1</f>
        <v>4.9906138119859556E-3</v>
      </c>
      <c r="V17" s="1478">
        <f>F17/F18-1</f>
        <v>9.4305450930933787E-3</v>
      </c>
      <c r="X17" s="1456">
        <f>ROUND(SUMPRODUCT(PRODUCT(1+N17:N$20)),4)</f>
        <v>1.0399</v>
      </c>
      <c r="Y17" s="1456">
        <f>ROUND(SUMPRODUCT(PRODUCT(1+O17:O$20)),4)</f>
        <v>1.0451999999999999</v>
      </c>
      <c r="Z17" s="1456">
        <f t="shared" si="0"/>
        <v>1.0451999999999999</v>
      </c>
      <c r="AA17" s="1456">
        <f>ROUND(SUMPRODUCT(PRODUCT(1+P17:P$20)),4)</f>
        <v>1.0387999999999999</v>
      </c>
      <c r="AB17" s="1456">
        <f>ROUND(SUMPRODUCT(PRODUCT(1+Q17:Q$20)),4)</f>
        <v>1.0411999999999999</v>
      </c>
      <c r="AD17" s="1457">
        <f>ROUND(AVERAGE(I17:I$21)/100,4)</f>
        <v>1.38E-2</v>
      </c>
      <c r="AE17" s="1457">
        <f>ROUND(AVERAGE(J17:J$21)/100,4)</f>
        <v>1.3599999999999999E-2</v>
      </c>
      <c r="AF17" s="1457">
        <f t="shared" si="1"/>
        <v>1.3599999999999999E-2</v>
      </c>
      <c r="AG17" s="1457">
        <f>ROUND(AVERAGE(K17:K$21)/100,4)</f>
        <v>1.4200000000000001E-2</v>
      </c>
      <c r="AH17" s="1457">
        <f>ROUND(AVERAGE(L17:L$21)/100,4)</f>
        <v>1.0800000000000001E-2</v>
      </c>
    </row>
    <row r="18" spans="1:34" ht="13.5" thickBot="1">
      <c r="A18" s="1458" t="s">
        <v>147</v>
      </c>
      <c r="B18" s="1487">
        <v>318</v>
      </c>
      <c r="C18" s="1487">
        <v>268</v>
      </c>
      <c r="D18" s="1487">
        <f t="shared" si="35"/>
        <v>268</v>
      </c>
      <c r="E18" s="1487">
        <v>437</v>
      </c>
      <c r="F18" s="1488">
        <v>237</v>
      </c>
      <c r="G18" s="3298">
        <v>2014</v>
      </c>
      <c r="H18" s="1479">
        <v>4</v>
      </c>
      <c r="I18" s="1479">
        <v>0.21</v>
      </c>
      <c r="J18" s="1479">
        <v>0.41</v>
      </c>
      <c r="K18" s="1479">
        <v>0.12</v>
      </c>
      <c r="L18" s="1480">
        <v>0.89</v>
      </c>
      <c r="N18" s="1469">
        <f t="shared" si="37"/>
        <v>2.0999999999999999E-3</v>
      </c>
      <c r="O18" s="1470">
        <f t="shared" si="32"/>
        <v>4.0999999999999995E-3</v>
      </c>
      <c r="P18" s="1470">
        <f t="shared" si="32"/>
        <v>1.1999999999999999E-3</v>
      </c>
      <c r="Q18" s="1470">
        <f t="shared" si="32"/>
        <v>8.8999999999999999E-3</v>
      </c>
      <c r="R18" s="1471"/>
      <c r="S18" s="1472"/>
      <c r="T18" s="1473"/>
      <c r="U18" s="1473"/>
      <c r="V18" s="1473"/>
      <c r="X18" s="1456">
        <f>ROUND(SUMPRODUCT(PRODUCT(1+N18:N$20)),4)</f>
        <v>1.0347</v>
      </c>
      <c r="Y18" s="1456">
        <f>ROUND(SUMPRODUCT(PRODUCT(1+O18:O$20)),4)</f>
        <v>1.0395000000000001</v>
      </c>
      <c r="Z18" s="1456">
        <f t="shared" si="0"/>
        <v>1.0395000000000001</v>
      </c>
      <c r="AA18" s="1456">
        <f>ROUND(SUMPRODUCT(PRODUCT(1+P18:P$20)),4)</f>
        <v>1.0338000000000001</v>
      </c>
      <c r="AB18" s="1456">
        <f>ROUND(SUMPRODUCT(PRODUCT(1+Q18:Q$20)),4)</f>
        <v>1.0316000000000001</v>
      </c>
      <c r="AD18" s="1457">
        <f>ROUND(AVERAGE(I18:I$21)/100,4)</f>
        <v>1.6E-2</v>
      </c>
      <c r="AE18" s="1457">
        <f>ROUND(AVERAGE(J18:J$21)/100,4)</f>
        <v>1.5599999999999999E-2</v>
      </c>
      <c r="AF18" s="1457">
        <f t="shared" si="1"/>
        <v>1.5599999999999999E-2</v>
      </c>
      <c r="AG18" s="1457">
        <f>ROUND(AVERAGE(K18:K$21)/100,4)</f>
        <v>1.66E-2</v>
      </c>
      <c r="AH18" s="1457">
        <f>ROUND(AVERAGE(L18:L$21)/100,4)</f>
        <v>1.12E-2</v>
      </c>
    </row>
    <row r="19" spans="1:34">
      <c r="A19" s="1458" t="s">
        <v>146</v>
      </c>
      <c r="B19" s="1474">
        <f t="shared" ref="B19:C21" si="40">B18/(1+N18)</f>
        <v>317.33359944117353</v>
      </c>
      <c r="C19" s="1474">
        <f t="shared" si="40"/>
        <v>266.90568668459315</v>
      </c>
      <c r="D19" s="1474">
        <f t="shared" si="35"/>
        <v>266.90568668459315</v>
      </c>
      <c r="E19" s="1474">
        <f t="shared" ref="E19:F21" si="41">E18/(1+P18)</f>
        <v>436.47622852576905</v>
      </c>
      <c r="F19" s="1474">
        <f t="shared" si="41"/>
        <v>234.90930716622066</v>
      </c>
      <c r="G19" s="3299"/>
      <c r="H19" s="1489">
        <v>3</v>
      </c>
      <c r="I19" s="1489">
        <v>0.83</v>
      </c>
      <c r="J19" s="1489">
        <v>1.47</v>
      </c>
      <c r="K19" s="1489">
        <v>0.65</v>
      </c>
      <c r="L19" s="1490">
        <v>0.72</v>
      </c>
      <c r="N19" s="1469">
        <f t="shared" si="37"/>
        <v>8.3000000000000001E-3</v>
      </c>
      <c r="O19" s="1470">
        <f t="shared" si="32"/>
        <v>1.47E-2</v>
      </c>
      <c r="P19" s="1470">
        <f t="shared" si="32"/>
        <v>6.5000000000000006E-3</v>
      </c>
      <c r="Q19" s="1470">
        <f t="shared" si="32"/>
        <v>7.1999999999999998E-3</v>
      </c>
      <c r="R19" s="1471"/>
      <c r="S19" s="1469"/>
      <c r="T19" s="1470"/>
      <c r="U19" s="1470"/>
      <c r="V19" s="1470"/>
      <c r="X19" s="1456">
        <f>ROUND(SUMPRODUCT(PRODUCT(1+N19:N$20)),4)</f>
        <v>1.0325</v>
      </c>
      <c r="Y19" s="1456">
        <f>ROUND(SUMPRODUCT(PRODUCT(1+O19:O$20)),4)</f>
        <v>1.0353000000000001</v>
      </c>
      <c r="Z19" s="1456">
        <f t="shared" ref="Z19:Z20" si="42">Y19</f>
        <v>1.0353000000000001</v>
      </c>
      <c r="AA19" s="1456">
        <f>ROUND(SUMPRODUCT(PRODUCT(1+P19:P$20)),4)</f>
        <v>1.0326</v>
      </c>
      <c r="AB19" s="1456">
        <f>ROUND(SUMPRODUCT(PRODUCT(1+Q19:Q$20)),4)</f>
        <v>1.0225</v>
      </c>
      <c r="AD19" s="1457">
        <f>ROUND(AVERAGE(I19:I$21)/100,4)</f>
        <v>2.07E-2</v>
      </c>
      <c r="AE19" s="1457">
        <f>ROUND(AVERAGE(J19:J$21)/100,4)</f>
        <v>1.95E-2</v>
      </c>
      <c r="AF19" s="1457">
        <f t="shared" si="1"/>
        <v>1.95E-2</v>
      </c>
      <c r="AG19" s="1457">
        <f>ROUND(AVERAGE(K19:K$21)/100,4)</f>
        <v>2.1700000000000001E-2</v>
      </c>
      <c r="AH19" s="1457">
        <f>ROUND(AVERAGE(L19:L$21)/100,4)</f>
        <v>1.2E-2</v>
      </c>
    </row>
    <row r="20" spans="1:34" ht="13.5" thickBot="1">
      <c r="A20" s="1458" t="s">
        <v>145</v>
      </c>
      <c r="B20" s="1474">
        <f t="shared" si="40"/>
        <v>314.72141172386546</v>
      </c>
      <c r="C20" s="1474">
        <f t="shared" si="40"/>
        <v>263.03901319069001</v>
      </c>
      <c r="D20" s="1474">
        <f t="shared" si="35"/>
        <v>263.03901319069001</v>
      </c>
      <c r="E20" s="1474">
        <f t="shared" si="41"/>
        <v>433.65745506782821</v>
      </c>
      <c r="F20" s="1474">
        <f t="shared" si="41"/>
        <v>233.23005080045735</v>
      </c>
      <c r="G20" s="3299"/>
      <c r="H20" s="1479">
        <v>2</v>
      </c>
      <c r="I20" s="1479">
        <v>2.4</v>
      </c>
      <c r="J20" s="1479">
        <v>2.0299999999999998</v>
      </c>
      <c r="K20" s="1479">
        <v>2.59</v>
      </c>
      <c r="L20" s="1480">
        <v>1.52</v>
      </c>
      <c r="N20" s="1469">
        <f t="shared" si="37"/>
        <v>2.4E-2</v>
      </c>
      <c r="O20" s="1470">
        <f t="shared" si="32"/>
        <v>2.0299999999999999E-2</v>
      </c>
      <c r="P20" s="1470">
        <f t="shared" si="32"/>
        <v>2.5899999999999999E-2</v>
      </c>
      <c r="Q20" s="1470">
        <f t="shared" si="32"/>
        <v>1.52E-2</v>
      </c>
      <c r="R20" s="1471"/>
      <c r="S20" s="1469"/>
      <c r="T20" s="1470"/>
      <c r="U20" s="1470"/>
      <c r="V20" s="1470"/>
      <c r="X20" s="1456">
        <f>1+N20</f>
        <v>1.024</v>
      </c>
      <c r="Y20" s="1456">
        <f>1+O20</f>
        <v>1.0203</v>
      </c>
      <c r="Z20" s="1456">
        <f t="shared" si="42"/>
        <v>1.0203</v>
      </c>
      <c r="AA20" s="1456">
        <f>1+P20</f>
        <v>1.0259</v>
      </c>
      <c r="AB20" s="1456">
        <f>1+Q20</f>
        <v>1.0152000000000001</v>
      </c>
      <c r="AD20" s="1457">
        <f>ROUND(AVERAGE(I20:I$21)/100,4)</f>
        <v>2.69E-2</v>
      </c>
      <c r="AE20" s="1457">
        <f>ROUND(AVERAGE(J20:J$21)/100,4)</f>
        <v>2.1899999999999999E-2</v>
      </c>
      <c r="AF20" s="1457">
        <f t="shared" ref="AF20" si="43">AE20</f>
        <v>2.1899999999999999E-2</v>
      </c>
      <c r="AG20" s="1457">
        <f>ROUND(AVERAGE(K20:K$21)/100,4)</f>
        <v>2.9399999999999999E-2</v>
      </c>
      <c r="AH20" s="1457">
        <f>ROUND(AVERAGE(L20:L$21)/100,4)</f>
        <v>1.44E-2</v>
      </c>
    </row>
    <row r="21" spans="1:34" s="1495" customFormat="1" ht="13.5" thickBot="1">
      <c r="A21" s="1491" t="s">
        <v>144</v>
      </c>
      <c r="B21" s="1492">
        <f t="shared" si="40"/>
        <v>307.34512863658733</v>
      </c>
      <c r="C21" s="1492">
        <f t="shared" si="40"/>
        <v>257.80556031626975</v>
      </c>
      <c r="D21" s="1492">
        <f t="shared" si="35"/>
        <v>257.80556031626975</v>
      </c>
      <c r="E21" s="1492">
        <f t="shared" si="41"/>
        <v>422.70928459677179</v>
      </c>
      <c r="F21" s="1492">
        <f t="shared" si="41"/>
        <v>229.73803270336617</v>
      </c>
      <c r="G21" s="3300"/>
      <c r="H21" s="1493">
        <v>1</v>
      </c>
      <c r="I21" s="1493">
        <v>2.97</v>
      </c>
      <c r="J21" s="1493">
        <v>2.34</v>
      </c>
      <c r="K21" s="1493">
        <v>3.28</v>
      </c>
      <c r="L21" s="1494">
        <v>1.36</v>
      </c>
      <c r="N21" s="1496">
        <f t="shared" si="37"/>
        <v>2.9700000000000001E-2</v>
      </c>
      <c r="O21" s="1497">
        <f t="shared" si="32"/>
        <v>2.3399999999999997E-2</v>
      </c>
      <c r="P21" s="1497">
        <f t="shared" si="32"/>
        <v>3.2799999999999996E-2</v>
      </c>
      <c r="Q21" s="1497">
        <f t="shared" si="32"/>
        <v>1.3600000000000001E-2</v>
      </c>
      <c r="R21" s="1498"/>
      <c r="S21" s="1499">
        <f>B21/B22-1</f>
        <v>2.7910129219355539E-2</v>
      </c>
      <c r="T21" s="1500">
        <f>C21/C22-1</f>
        <v>2.3037937762975247E-2</v>
      </c>
      <c r="U21" s="1500">
        <f>E21/E22-1</f>
        <v>3.3519033243940788E-2</v>
      </c>
      <c r="V21" s="1500">
        <f>F21/F22-1</f>
        <v>1.2061818076502862E-2</v>
      </c>
      <c r="W21" s="1501" t="s">
        <v>1160</v>
      </c>
      <c r="X21" s="1502">
        <v>1</v>
      </c>
      <c r="Y21" s="1502">
        <v>1</v>
      </c>
      <c r="Z21" s="1502">
        <v>1</v>
      </c>
      <c r="AA21" s="1502">
        <v>1</v>
      </c>
      <c r="AB21" s="1502">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8" t="s">
        <v>1161</v>
      </c>
      <c r="B22" s="1466">
        <v>299</v>
      </c>
      <c r="C22" s="1466">
        <v>252</v>
      </c>
      <c r="D22" s="1466">
        <f t="shared" si="35"/>
        <v>252</v>
      </c>
      <c r="E22" s="1466">
        <v>409</v>
      </c>
      <c r="F22" s="1467">
        <v>227</v>
      </c>
      <c r="G22" s="3303">
        <v>2013</v>
      </c>
      <c r="H22" s="1503">
        <v>4</v>
      </c>
      <c r="I22" s="1503">
        <v>1.83</v>
      </c>
      <c r="J22" s="1503">
        <v>1.68</v>
      </c>
      <c r="K22" s="1503">
        <v>1.97</v>
      </c>
      <c r="L22" s="1504">
        <v>0.87</v>
      </c>
      <c r="N22" s="1481">
        <f t="shared" si="37"/>
        <v>1.83E-2</v>
      </c>
      <c r="O22" s="1482">
        <f t="shared" si="32"/>
        <v>1.6799999999999999E-2</v>
      </c>
      <c r="P22" s="1482">
        <f t="shared" si="32"/>
        <v>1.9699999999999999E-2</v>
      </c>
      <c r="Q22" s="1482">
        <f t="shared" si="32"/>
        <v>8.6999999999999994E-3</v>
      </c>
      <c r="R22" s="1471"/>
      <c r="S22" s="1472"/>
      <c r="T22" s="1473"/>
      <c r="U22" s="1473"/>
      <c r="V22" s="1473"/>
      <c r="X22" s="1473"/>
      <c r="Y22" s="1473"/>
      <c r="Z22" s="1473"/>
    </row>
    <row r="23" spans="1:34">
      <c r="A23" s="1458" t="s">
        <v>1162</v>
      </c>
      <c r="B23" s="1474">
        <f t="shared" ref="B23:C25" si="44">B22/(1+N22)</f>
        <v>293.62663262299913</v>
      </c>
      <c r="C23" s="1474">
        <f t="shared" si="44"/>
        <v>247.83634933123525</v>
      </c>
      <c r="D23" s="1474">
        <f t="shared" si="35"/>
        <v>247.83634933123525</v>
      </c>
      <c r="E23" s="1474">
        <f t="shared" ref="E23:F25" si="45">E22/(1+P22)</f>
        <v>401.09836226341076</v>
      </c>
      <c r="F23" s="1474">
        <f t="shared" si="45"/>
        <v>225.04213343908003</v>
      </c>
      <c r="G23" s="3304"/>
      <c r="H23" s="1484">
        <v>3</v>
      </c>
      <c r="I23" s="1484">
        <v>1.86</v>
      </c>
      <c r="J23" s="1484">
        <v>1.72</v>
      </c>
      <c r="K23" s="1484">
        <v>1.98</v>
      </c>
      <c r="L23" s="1485">
        <v>0.88</v>
      </c>
      <c r="N23" s="1469">
        <f t="shared" si="37"/>
        <v>1.8600000000000002E-2</v>
      </c>
      <c r="O23" s="1486">
        <f t="shared" si="32"/>
        <v>1.72E-2</v>
      </c>
      <c r="P23" s="1486">
        <f t="shared" si="32"/>
        <v>1.9799999999999998E-2</v>
      </c>
      <c r="Q23" s="1486">
        <f t="shared" si="32"/>
        <v>8.8000000000000005E-3</v>
      </c>
      <c r="R23" s="1471"/>
      <c r="S23" s="1469"/>
      <c r="T23" s="1470"/>
      <c r="U23" s="1470"/>
      <c r="V23" s="1470"/>
    </row>
    <row r="24" spans="1:34">
      <c r="A24" s="1458" t="s">
        <v>1163</v>
      </c>
      <c r="B24" s="1474">
        <f t="shared" si="44"/>
        <v>288.2649053828776</v>
      </c>
      <c r="C24" s="1474">
        <f t="shared" si="44"/>
        <v>243.64564425013293</v>
      </c>
      <c r="D24" s="1474">
        <f t="shared" si="35"/>
        <v>243.64564425013293</v>
      </c>
      <c r="E24" s="1474">
        <f t="shared" si="45"/>
        <v>393.31080825986544</v>
      </c>
      <c r="F24" s="1474">
        <f t="shared" si="45"/>
        <v>223.07903790551154</v>
      </c>
      <c r="G24" s="3304"/>
      <c r="H24" s="1462">
        <v>2</v>
      </c>
      <c r="I24" s="1462">
        <v>2.04</v>
      </c>
      <c r="J24" s="1462">
        <v>2.33</v>
      </c>
      <c r="K24" s="1462">
        <v>2.0699999999999998</v>
      </c>
      <c r="L24" s="1476">
        <v>0.69</v>
      </c>
      <c r="N24" s="1469">
        <f t="shared" si="37"/>
        <v>2.0400000000000001E-2</v>
      </c>
      <c r="O24" s="1486">
        <f t="shared" si="32"/>
        <v>2.3300000000000001E-2</v>
      </c>
      <c r="P24" s="1486">
        <f t="shared" si="32"/>
        <v>2.07E-2</v>
      </c>
      <c r="Q24" s="1486">
        <f t="shared" si="32"/>
        <v>6.8999999999999999E-3</v>
      </c>
      <c r="R24" s="1471"/>
      <c r="S24" s="1469"/>
      <c r="T24" s="1470"/>
      <c r="U24" s="1470"/>
      <c r="V24" s="1470"/>
      <c r="X24" s="1505"/>
      <c r="Y24" s="1506"/>
    </row>
    <row r="25" spans="1:34">
      <c r="A25" s="1458" t="s">
        <v>1164</v>
      </c>
      <c r="B25" s="1474">
        <f t="shared" si="44"/>
        <v>282.50186729015837</v>
      </c>
      <c r="C25" s="1474">
        <f t="shared" si="44"/>
        <v>238.09796174155468</v>
      </c>
      <c r="D25" s="1474">
        <f t="shared" si="35"/>
        <v>238.09796174155468</v>
      </c>
      <c r="E25" s="1474">
        <f t="shared" si="45"/>
        <v>385.33438646014054</v>
      </c>
      <c r="F25" s="1474">
        <f t="shared" si="45"/>
        <v>221.55034055567739</v>
      </c>
      <c r="G25" s="3305"/>
      <c r="H25" s="1461">
        <v>1</v>
      </c>
      <c r="I25" s="1461">
        <v>1.67</v>
      </c>
      <c r="J25" s="1461">
        <v>1.31</v>
      </c>
      <c r="K25" s="1461">
        <v>1.85</v>
      </c>
      <c r="L25" s="1475">
        <v>0.96</v>
      </c>
      <c r="N25" s="1477">
        <f t="shared" si="37"/>
        <v>1.67E-2</v>
      </c>
      <c r="O25" s="1478">
        <f t="shared" si="37"/>
        <v>1.3100000000000001E-2</v>
      </c>
      <c r="P25" s="1478">
        <f t="shared" si="37"/>
        <v>1.8500000000000003E-2</v>
      </c>
      <c r="Q25" s="1478">
        <f t="shared" si="37"/>
        <v>9.5999999999999992E-3</v>
      </c>
      <c r="R25" s="1471"/>
      <c r="S25" s="1477">
        <f>B25/B26-1</f>
        <v>1.6193767230785472E-2</v>
      </c>
      <c r="T25" s="1478">
        <f>C25/C26-1</f>
        <v>1.7512657015190891E-2</v>
      </c>
      <c r="U25" s="1478">
        <f>E25/E26-1</f>
        <v>1.6713420739157048E-2</v>
      </c>
      <c r="V25" s="1478">
        <f>F25/F26-1</f>
        <v>7.0470025258062563E-3</v>
      </c>
      <c r="X25" s="1507"/>
      <c r="Y25" s="1457"/>
      <c r="Z25" s="1457"/>
    </row>
    <row r="26" spans="1:34" ht="13.5" thickBot="1">
      <c r="A26" s="1458" t="s">
        <v>1165</v>
      </c>
      <c r="B26" s="1508">
        <v>278</v>
      </c>
      <c r="C26" s="1508">
        <v>234</v>
      </c>
      <c r="D26" s="1508">
        <f t="shared" si="35"/>
        <v>234</v>
      </c>
      <c r="E26" s="1508">
        <v>379</v>
      </c>
      <c r="F26" s="1509">
        <v>220</v>
      </c>
      <c r="G26" s="3298">
        <v>2012</v>
      </c>
      <c r="H26" s="1479">
        <v>4</v>
      </c>
      <c r="I26" s="1479">
        <v>0.91</v>
      </c>
      <c r="J26" s="1479">
        <v>0.68</v>
      </c>
      <c r="K26" s="1479">
        <v>0.98</v>
      </c>
      <c r="L26" s="1480">
        <v>0.9</v>
      </c>
      <c r="N26" s="1469">
        <f t="shared" si="37"/>
        <v>9.1000000000000004E-3</v>
      </c>
      <c r="O26" s="1470">
        <f t="shared" si="37"/>
        <v>6.8000000000000005E-3</v>
      </c>
      <c r="P26" s="1470">
        <f t="shared" si="37"/>
        <v>9.7999999999999997E-3</v>
      </c>
      <c r="Q26" s="1470">
        <f t="shared" si="37"/>
        <v>9.0000000000000011E-3</v>
      </c>
      <c r="R26" s="1471"/>
      <c r="S26" s="1472"/>
      <c r="T26" s="1473"/>
      <c r="U26" s="1473"/>
      <c r="V26" s="1473"/>
      <c r="X26" s="1473"/>
      <c r="Y26" s="1473"/>
      <c r="Z26" s="1473"/>
    </row>
    <row r="27" spans="1:34">
      <c r="A27" s="1458" t="s">
        <v>1166</v>
      </c>
      <c r="B27" s="1474">
        <f>B26/(1+N26)</f>
        <v>275.49301357645425</v>
      </c>
      <c r="C27" s="1474">
        <f>C26/(1+O26)</f>
        <v>232.41954707985698</v>
      </c>
      <c r="D27" s="1474">
        <f t="shared" si="35"/>
        <v>232.41954707985698</v>
      </c>
      <c r="E27" s="1474">
        <f t="shared" ref="E27:F29" si="46">E26/(1+P26)</f>
        <v>375.32184591008121</v>
      </c>
      <c r="F27" s="1474">
        <f t="shared" si="46"/>
        <v>218.03766105054513</v>
      </c>
      <c r="G27" s="3299"/>
      <c r="H27" s="1484">
        <v>3</v>
      </c>
      <c r="I27" s="1484">
        <v>0.09</v>
      </c>
      <c r="J27" s="1484">
        <v>0.28999999999999998</v>
      </c>
      <c r="K27" s="1484">
        <v>-0.01</v>
      </c>
      <c r="L27" s="1485">
        <v>0.57999999999999996</v>
      </c>
      <c r="N27" s="1469">
        <f t="shared" si="37"/>
        <v>8.9999999999999998E-4</v>
      </c>
      <c r="O27" s="1470">
        <f t="shared" si="37"/>
        <v>2.8999999999999998E-3</v>
      </c>
      <c r="P27" s="1470">
        <f t="shared" si="37"/>
        <v>-1E-4</v>
      </c>
      <c r="Q27" s="1470">
        <f t="shared" si="37"/>
        <v>5.7999999999999996E-3</v>
      </c>
      <c r="R27" s="1471"/>
      <c r="S27" s="1469"/>
      <c r="T27" s="1470"/>
      <c r="U27" s="1470"/>
      <c r="V27" s="1470"/>
    </row>
    <row r="28" spans="1:34">
      <c r="A28" s="1458" t="s">
        <v>1167</v>
      </c>
      <c r="B28" s="1474">
        <f>B27/(1+N27)</f>
        <v>275.24529281292263</v>
      </c>
      <c r="C28" s="1474">
        <f>C27/(1+O27)</f>
        <v>231.74747938962707</v>
      </c>
      <c r="D28" s="1474">
        <f t="shared" si="35"/>
        <v>231.74747938962707</v>
      </c>
      <c r="E28" s="1474">
        <f t="shared" si="46"/>
        <v>375.35938184826603</v>
      </c>
      <c r="F28" s="1474">
        <f t="shared" si="46"/>
        <v>216.78033510692495</v>
      </c>
      <c r="G28" s="3299"/>
      <c r="H28" s="1462">
        <v>2</v>
      </c>
      <c r="I28" s="1462">
        <v>0.02</v>
      </c>
      <c r="J28" s="1462">
        <v>0.12</v>
      </c>
      <c r="K28" s="1462">
        <v>-0.08</v>
      </c>
      <c r="L28" s="1476">
        <v>1.24</v>
      </c>
      <c r="N28" s="1469">
        <f t="shared" si="37"/>
        <v>2.0000000000000001E-4</v>
      </c>
      <c r="O28" s="1470">
        <f t="shared" si="37"/>
        <v>1.1999999999999999E-3</v>
      </c>
      <c r="P28" s="1470">
        <f t="shared" si="37"/>
        <v>-8.0000000000000004E-4</v>
      </c>
      <c r="Q28" s="1470">
        <f t="shared" si="37"/>
        <v>1.24E-2</v>
      </c>
      <c r="R28" s="1471"/>
      <c r="S28" s="1469"/>
      <c r="T28" s="1470"/>
      <c r="U28" s="1470"/>
      <c r="V28" s="1470"/>
    </row>
    <row r="29" spans="1:34" ht="13.5" thickBot="1">
      <c r="A29" s="1458" t="s">
        <v>1168</v>
      </c>
      <c r="B29" s="1474">
        <f>B28/(1+N28)</f>
        <v>275.19025476197027</v>
      </c>
      <c r="C29" s="1510">
        <v>232</v>
      </c>
      <c r="D29" s="1510">
        <f t="shared" si="35"/>
        <v>232</v>
      </c>
      <c r="E29" s="1474">
        <f t="shared" si="46"/>
        <v>375.65990977608692</v>
      </c>
      <c r="F29" s="1474">
        <f t="shared" si="46"/>
        <v>214.12518283971252</v>
      </c>
      <c r="G29" s="3300"/>
      <c r="H29" s="1461">
        <v>1</v>
      </c>
      <c r="I29" s="1461">
        <v>0.02</v>
      </c>
      <c r="J29" s="1461">
        <v>0.13</v>
      </c>
      <c r="K29" s="1461">
        <v>-0.04</v>
      </c>
      <c r="L29" s="1475">
        <v>0.46</v>
      </c>
      <c r="N29" s="1469">
        <f t="shared" si="37"/>
        <v>2.0000000000000001E-4</v>
      </c>
      <c r="O29" s="1470">
        <f t="shared" si="37"/>
        <v>1.2999999999999999E-3</v>
      </c>
      <c r="P29" s="1470">
        <f t="shared" si="37"/>
        <v>-4.0000000000000002E-4</v>
      </c>
      <c r="Q29" s="1470">
        <f t="shared" si="37"/>
        <v>4.5999999999999999E-3</v>
      </c>
      <c r="R29" s="1471"/>
      <c r="S29" s="1477">
        <f>B29/B30-1</f>
        <v>6.9183549807361189E-4</v>
      </c>
      <c r="T29" s="1478">
        <f>C29/C30-1</f>
        <v>0</v>
      </c>
      <c r="U29" s="1478">
        <f>E29/E30-1</f>
        <v>-9.0449527636460303E-4</v>
      </c>
      <c r="V29" s="1478">
        <f>F29/F30-1</f>
        <v>5.2825485432512753E-3</v>
      </c>
      <c r="X29" s="1457"/>
      <c r="Y29" s="1457"/>
      <c r="Z29" s="1457"/>
    </row>
    <row r="30" spans="1:34" ht="13.5" thickBot="1">
      <c r="A30" s="1458" t="s">
        <v>1169</v>
      </c>
      <c r="B30" s="1466">
        <v>275</v>
      </c>
      <c r="C30" s="1466">
        <v>232</v>
      </c>
      <c r="D30" s="1466">
        <f t="shared" si="35"/>
        <v>232</v>
      </c>
      <c r="E30" s="1466">
        <v>376</v>
      </c>
      <c r="F30" s="1467">
        <v>213</v>
      </c>
      <c r="G30" s="3298">
        <v>2011</v>
      </c>
      <c r="H30" s="1479">
        <v>4</v>
      </c>
      <c r="I30" s="1479">
        <v>-0.2</v>
      </c>
      <c r="J30" s="1479">
        <v>0.04</v>
      </c>
      <c r="K30" s="1479">
        <v>-0.34</v>
      </c>
      <c r="L30" s="1480">
        <v>0.46</v>
      </c>
      <c r="N30" s="1481">
        <f t="shared" si="37"/>
        <v>-2E-3</v>
      </c>
      <c r="O30" s="1482">
        <f t="shared" si="37"/>
        <v>4.0000000000000002E-4</v>
      </c>
      <c r="P30" s="1482">
        <f t="shared" si="37"/>
        <v>-3.4000000000000002E-3</v>
      </c>
      <c r="Q30" s="1482">
        <f t="shared" si="37"/>
        <v>4.5999999999999999E-3</v>
      </c>
      <c r="R30" s="1471"/>
      <c r="S30" s="1472"/>
      <c r="T30" s="1473"/>
      <c r="U30" s="1473"/>
      <c r="V30" s="1473"/>
      <c r="X30" s="1473"/>
      <c r="Y30" s="1473"/>
      <c r="Z30" s="1473"/>
    </row>
    <row r="31" spans="1:34">
      <c r="A31" s="1458" t="s">
        <v>1170</v>
      </c>
      <c r="B31" s="1474">
        <f t="shared" ref="B31:C33" si="47">B30/(1+N30)</f>
        <v>275.55110220440883</v>
      </c>
      <c r="C31" s="1474">
        <f t="shared" si="47"/>
        <v>231.90723710515795</v>
      </c>
      <c r="D31" s="1474">
        <f t="shared" si="35"/>
        <v>231.90723710515795</v>
      </c>
      <c r="E31" s="1474">
        <f t="shared" ref="E31:F33" si="48">E30/(1+P30)</f>
        <v>377.28276138872161</v>
      </c>
      <c r="F31" s="1474">
        <f t="shared" si="48"/>
        <v>212.02468644236512</v>
      </c>
      <c r="G31" s="3299">
        <v>2011</v>
      </c>
      <c r="H31" s="1484">
        <v>3</v>
      </c>
      <c r="I31" s="1484">
        <v>0.13</v>
      </c>
      <c r="J31" s="1484">
        <v>0.75</v>
      </c>
      <c r="K31" s="1484">
        <v>-0.08</v>
      </c>
      <c r="L31" s="1485">
        <v>0.53</v>
      </c>
      <c r="N31" s="1469">
        <f t="shared" si="37"/>
        <v>1.2999999999999999E-3</v>
      </c>
      <c r="O31" s="1486">
        <f t="shared" si="37"/>
        <v>7.4999999999999997E-3</v>
      </c>
      <c r="P31" s="1486">
        <f t="shared" si="37"/>
        <v>-8.0000000000000004E-4</v>
      </c>
      <c r="Q31" s="1486">
        <f t="shared" si="37"/>
        <v>5.3E-3</v>
      </c>
      <c r="R31" s="1471"/>
      <c r="S31" s="1469"/>
      <c r="T31" s="1470"/>
      <c r="U31" s="1470"/>
      <c r="V31" s="1470"/>
    </row>
    <row r="32" spans="1:34">
      <c r="A32" s="1458" t="s">
        <v>1171</v>
      </c>
      <c r="B32" s="1474">
        <f t="shared" si="47"/>
        <v>275.19335084830601</v>
      </c>
      <c r="C32" s="1474">
        <f t="shared" si="47"/>
        <v>230.18088050139744</v>
      </c>
      <c r="D32" s="1474">
        <f t="shared" si="35"/>
        <v>230.18088050139744</v>
      </c>
      <c r="E32" s="1474">
        <f t="shared" si="48"/>
        <v>377.58482925212331</v>
      </c>
      <c r="F32" s="1474">
        <f t="shared" si="48"/>
        <v>210.90687997847917</v>
      </c>
      <c r="G32" s="3299">
        <v>2011</v>
      </c>
      <c r="H32" s="1462">
        <v>2</v>
      </c>
      <c r="I32" s="1462">
        <v>-0.4</v>
      </c>
      <c r="J32" s="1462">
        <v>0.17</v>
      </c>
      <c r="K32" s="1462">
        <v>-0.57999999999999996</v>
      </c>
      <c r="L32" s="1476">
        <v>-0.2</v>
      </c>
      <c r="N32" s="1469">
        <f t="shared" si="37"/>
        <v>-4.0000000000000001E-3</v>
      </c>
      <c r="O32" s="1486">
        <f t="shared" si="37"/>
        <v>1.7000000000000001E-3</v>
      </c>
      <c r="P32" s="1486">
        <f t="shared" si="37"/>
        <v>-5.7999999999999996E-3</v>
      </c>
      <c r="Q32" s="1486">
        <f t="shared" si="37"/>
        <v>-2E-3</v>
      </c>
      <c r="R32" s="1471"/>
      <c r="S32" s="1469"/>
      <c r="T32" s="1470"/>
      <c r="U32" s="1470"/>
      <c r="V32" s="1470"/>
    </row>
    <row r="33" spans="1:26" ht="13.5" thickBot="1">
      <c r="A33" s="1458" t="s">
        <v>1172</v>
      </c>
      <c r="B33" s="1474">
        <f t="shared" si="47"/>
        <v>276.29854502841971</v>
      </c>
      <c r="C33" s="1474">
        <f t="shared" si="47"/>
        <v>229.79023709833027</v>
      </c>
      <c r="D33" s="1474">
        <f t="shared" si="35"/>
        <v>229.79023709833027</v>
      </c>
      <c r="E33" s="1474">
        <f t="shared" si="48"/>
        <v>379.78759731655936</v>
      </c>
      <c r="F33" s="1474">
        <f t="shared" si="48"/>
        <v>211.32953905659235</v>
      </c>
      <c r="G33" s="3300">
        <v>2011</v>
      </c>
      <c r="H33" s="1461">
        <v>1</v>
      </c>
      <c r="I33" s="1461">
        <v>2.65</v>
      </c>
      <c r="J33" s="1461">
        <v>3.76</v>
      </c>
      <c r="K33" s="1461">
        <v>1.89</v>
      </c>
      <c r="L33" s="1475">
        <v>7.95</v>
      </c>
      <c r="N33" s="1477">
        <f t="shared" si="37"/>
        <v>2.6499999999999999E-2</v>
      </c>
      <c r="O33" s="1478">
        <f t="shared" si="37"/>
        <v>3.7599999999999995E-2</v>
      </c>
      <c r="P33" s="1478">
        <f t="shared" si="37"/>
        <v>1.89E-2</v>
      </c>
      <c r="Q33" s="1478">
        <f t="shared" si="37"/>
        <v>7.9500000000000001E-2</v>
      </c>
      <c r="R33" s="1471"/>
      <c r="S33" s="1477">
        <f>B33/B34-1</f>
        <v>2.713213765211786E-2</v>
      </c>
      <c r="T33" s="1478">
        <f>C33/C34-1</f>
        <v>3.9774828499231862E-2</v>
      </c>
      <c r="U33" s="1478">
        <f>E33/E34-1</f>
        <v>1.8197311840641772E-2</v>
      </c>
      <c r="V33" s="1478">
        <f>F33/F34-1</f>
        <v>7.8211933962205826E-2</v>
      </c>
      <c r="X33" s="1457"/>
      <c r="Y33" s="1457"/>
      <c r="Z33" s="1457"/>
    </row>
    <row r="34" spans="1:26" ht="13.5" thickBot="1">
      <c r="A34" s="1458" t="s">
        <v>1173</v>
      </c>
      <c r="B34" s="1466">
        <v>269</v>
      </c>
      <c r="C34" s="1466">
        <v>221</v>
      </c>
      <c r="D34" s="1466">
        <f t="shared" si="35"/>
        <v>221</v>
      </c>
      <c r="E34" s="1466">
        <v>373</v>
      </c>
      <c r="F34" s="1467">
        <v>196</v>
      </c>
      <c r="G34" s="3298">
        <v>2010</v>
      </c>
      <c r="H34" s="1479">
        <v>4</v>
      </c>
      <c r="I34" s="1479">
        <v>5.72</v>
      </c>
      <c r="J34" s="1479">
        <v>6.57</v>
      </c>
      <c r="K34" s="1479">
        <v>5.72</v>
      </c>
      <c r="L34" s="1480">
        <v>2.72</v>
      </c>
      <c r="N34" s="1469">
        <f t="shared" si="37"/>
        <v>5.7200000000000001E-2</v>
      </c>
      <c r="O34" s="1470">
        <f t="shared" si="37"/>
        <v>6.5700000000000008E-2</v>
      </c>
      <c r="P34" s="1470">
        <f t="shared" si="37"/>
        <v>5.7200000000000001E-2</v>
      </c>
      <c r="Q34" s="1470">
        <f t="shared" si="37"/>
        <v>2.7200000000000002E-2</v>
      </c>
      <c r="R34" s="1471"/>
      <c r="S34" s="1472"/>
      <c r="T34" s="1473"/>
      <c r="U34" s="1473"/>
      <c r="V34" s="1473"/>
      <c r="X34" s="1473"/>
      <c r="Y34" s="1473"/>
      <c r="Z34" s="1473"/>
    </row>
    <row r="35" spans="1:26">
      <c r="A35" s="1458" t="s">
        <v>1174</v>
      </c>
      <c r="B35" s="1474">
        <f t="shared" ref="B35:C37" si="49">B34/(1+N34)</f>
        <v>254.44570563753314</v>
      </c>
      <c r="C35" s="1474">
        <f t="shared" si="49"/>
        <v>207.37543398705074</v>
      </c>
      <c r="D35" s="1474">
        <f t="shared" si="35"/>
        <v>207.37543398705074</v>
      </c>
      <c r="E35" s="1474">
        <f t="shared" ref="E35:F37" si="50">E34/(1+P34)</f>
        <v>352.81876655315932</v>
      </c>
      <c r="F35" s="1474">
        <f t="shared" si="50"/>
        <v>190.809968847352</v>
      </c>
      <c r="G35" s="3299">
        <v>2010</v>
      </c>
      <c r="H35" s="1484">
        <v>3</v>
      </c>
      <c r="I35" s="1484">
        <v>4.7300000000000004</v>
      </c>
      <c r="J35" s="1484">
        <v>3.9</v>
      </c>
      <c r="K35" s="1484">
        <v>5.03</v>
      </c>
      <c r="L35" s="1485">
        <v>4.21</v>
      </c>
      <c r="N35" s="1469">
        <f t="shared" si="37"/>
        <v>4.7300000000000002E-2</v>
      </c>
      <c r="O35" s="1470">
        <f t="shared" si="37"/>
        <v>3.9E-2</v>
      </c>
      <c r="P35" s="1470">
        <f t="shared" si="37"/>
        <v>5.0300000000000004E-2</v>
      </c>
      <c r="Q35" s="1470">
        <f t="shared" si="37"/>
        <v>4.2099999999999999E-2</v>
      </c>
      <c r="R35" s="1471"/>
      <c r="S35" s="1469"/>
      <c r="T35" s="1470"/>
      <c r="U35" s="1470"/>
      <c r="V35" s="1470"/>
    </row>
    <row r="36" spans="1:26">
      <c r="A36" s="1458" t="s">
        <v>1175</v>
      </c>
      <c r="B36" s="1474">
        <f t="shared" si="49"/>
        <v>242.95398227588385</v>
      </c>
      <c r="C36" s="1474">
        <f t="shared" si="49"/>
        <v>199.59137053614126</v>
      </c>
      <c r="D36" s="1474">
        <f t="shared" si="35"/>
        <v>199.59137053614126</v>
      </c>
      <c r="E36" s="1474">
        <f t="shared" si="50"/>
        <v>335.92189522342125</v>
      </c>
      <c r="F36" s="1474">
        <f t="shared" si="50"/>
        <v>183.10139991109489</v>
      </c>
      <c r="G36" s="3299">
        <v>2010</v>
      </c>
      <c r="H36" s="1462">
        <v>2</v>
      </c>
      <c r="I36" s="1462">
        <v>4.6900000000000004</v>
      </c>
      <c r="J36" s="1462">
        <v>3.55</v>
      </c>
      <c r="K36" s="1462">
        <v>5.07</v>
      </c>
      <c r="L36" s="1476">
        <v>4.2300000000000004</v>
      </c>
      <c r="N36" s="1469">
        <f t="shared" si="37"/>
        <v>4.6900000000000004E-2</v>
      </c>
      <c r="O36" s="1470">
        <f t="shared" si="37"/>
        <v>3.5499999999999997E-2</v>
      </c>
      <c r="P36" s="1470">
        <f t="shared" si="37"/>
        <v>5.0700000000000002E-2</v>
      </c>
      <c r="Q36" s="1470">
        <f t="shared" si="37"/>
        <v>4.2300000000000004E-2</v>
      </c>
      <c r="R36" s="1471"/>
      <c r="S36" s="1469"/>
      <c r="T36" s="1470"/>
      <c r="U36" s="1470"/>
      <c r="V36" s="1470"/>
    </row>
    <row r="37" spans="1:26" ht="13.5" thickBot="1">
      <c r="A37" s="1458" t="s">
        <v>1176</v>
      </c>
      <c r="B37" s="1474">
        <f t="shared" si="49"/>
        <v>232.06990378821649</v>
      </c>
      <c r="C37" s="1474">
        <f t="shared" si="49"/>
        <v>192.74878854286936</v>
      </c>
      <c r="D37" s="1474">
        <f t="shared" si="35"/>
        <v>192.74878854286936</v>
      </c>
      <c r="E37" s="1474">
        <f t="shared" si="50"/>
        <v>319.71247284992984</v>
      </c>
      <c r="F37" s="1474">
        <f t="shared" si="50"/>
        <v>175.67053622862409</v>
      </c>
      <c r="G37" s="3300">
        <v>2010</v>
      </c>
      <c r="H37" s="1461">
        <v>1</v>
      </c>
      <c r="I37" s="1461">
        <v>5.4</v>
      </c>
      <c r="J37" s="1461">
        <v>3.2</v>
      </c>
      <c r="K37" s="1461">
        <v>6.16</v>
      </c>
      <c r="L37" s="1475">
        <v>4.51</v>
      </c>
      <c r="N37" s="1469">
        <f t="shared" si="37"/>
        <v>5.4000000000000006E-2</v>
      </c>
      <c r="O37" s="1470">
        <f t="shared" si="37"/>
        <v>3.2000000000000001E-2</v>
      </c>
      <c r="P37" s="1470">
        <f t="shared" si="37"/>
        <v>6.1600000000000002E-2</v>
      </c>
      <c r="Q37" s="1470">
        <f t="shared" si="37"/>
        <v>4.5100000000000001E-2</v>
      </c>
      <c r="R37" s="1471"/>
      <c r="S37" s="1477">
        <f>B37/B38-1</f>
        <v>5.4863199037347599E-2</v>
      </c>
      <c r="T37" s="1478">
        <f>C37/C38-1</f>
        <v>3.0742184721226584E-2</v>
      </c>
      <c r="U37" s="1478">
        <f>E37/E38-1</f>
        <v>6.2167683886810154E-2</v>
      </c>
      <c r="V37" s="1478">
        <f>F37/F38-1</f>
        <v>4.5657953741810031E-2</v>
      </c>
      <c r="X37" s="1457"/>
      <c r="Y37" s="1457"/>
      <c r="Z37" s="1457"/>
    </row>
    <row r="38" spans="1:26" ht="13.5" thickBot="1">
      <c r="A38" s="1458" t="s">
        <v>1177</v>
      </c>
      <c r="B38" s="1466">
        <v>220</v>
      </c>
      <c r="C38" s="1466">
        <v>187</v>
      </c>
      <c r="D38" s="1466">
        <f t="shared" si="35"/>
        <v>187</v>
      </c>
      <c r="E38" s="1466">
        <v>301</v>
      </c>
      <c r="F38" s="1467">
        <v>168</v>
      </c>
      <c r="G38" s="3298">
        <v>2009</v>
      </c>
      <c r="H38" s="1479">
        <v>4</v>
      </c>
      <c r="I38" s="1479">
        <v>2.2999999999999998</v>
      </c>
      <c r="J38" s="1479">
        <v>1.04</v>
      </c>
      <c r="K38" s="1479">
        <v>2.84</v>
      </c>
      <c r="L38" s="1480">
        <v>0.67</v>
      </c>
      <c r="N38" s="1481">
        <f t="shared" si="37"/>
        <v>2.3E-2</v>
      </c>
      <c r="O38" s="1482">
        <f t="shared" si="37"/>
        <v>1.04E-2</v>
      </c>
      <c r="P38" s="1482">
        <f t="shared" si="37"/>
        <v>2.8399999999999998E-2</v>
      </c>
      <c r="Q38" s="1482">
        <f t="shared" si="37"/>
        <v>6.7000000000000002E-3</v>
      </c>
      <c r="R38" s="1471"/>
      <c r="S38" s="1472"/>
      <c r="T38" s="1473"/>
      <c r="U38" s="1473"/>
      <c r="V38" s="1473"/>
      <c r="X38" s="1473"/>
      <c r="Y38" s="1473"/>
      <c r="Z38" s="1473"/>
    </row>
    <row r="39" spans="1:26">
      <c r="A39" s="1458" t="s">
        <v>1178</v>
      </c>
      <c r="B39" s="1474">
        <f t="shared" ref="B39:C41" si="51">B38/(1+N38)</f>
        <v>215.05376344086022</v>
      </c>
      <c r="C39" s="1474">
        <f t="shared" si="51"/>
        <v>185.0752177355503</v>
      </c>
      <c r="D39" s="1474">
        <f t="shared" si="35"/>
        <v>185.0752177355503</v>
      </c>
      <c r="E39" s="1474">
        <f t="shared" ref="E39:F41" si="52">E38/(1+P38)</f>
        <v>292.68767016725008</v>
      </c>
      <c r="F39" s="1474">
        <f t="shared" si="52"/>
        <v>166.88189132810174</v>
      </c>
      <c r="G39" s="3299">
        <v>2009</v>
      </c>
      <c r="H39" s="1484">
        <v>3</v>
      </c>
      <c r="I39" s="1484">
        <v>2.1</v>
      </c>
      <c r="J39" s="1484">
        <v>1.86</v>
      </c>
      <c r="K39" s="1484">
        <v>2.29</v>
      </c>
      <c r="L39" s="1485">
        <v>0.85</v>
      </c>
      <c r="N39" s="1469">
        <f t="shared" si="37"/>
        <v>2.1000000000000001E-2</v>
      </c>
      <c r="O39" s="1486">
        <f t="shared" si="37"/>
        <v>1.8600000000000002E-2</v>
      </c>
      <c r="P39" s="1486">
        <f t="shared" si="37"/>
        <v>2.29E-2</v>
      </c>
      <c r="Q39" s="1486">
        <f t="shared" si="37"/>
        <v>8.5000000000000006E-3</v>
      </c>
      <c r="R39" s="1471"/>
      <c r="S39" s="1469"/>
      <c r="T39" s="1470"/>
      <c r="U39" s="1470"/>
      <c r="V39" s="1470"/>
    </row>
    <row r="40" spans="1:26">
      <c r="A40" s="1458" t="s">
        <v>1179</v>
      </c>
      <c r="B40" s="1474">
        <f t="shared" si="51"/>
        <v>210.630522469011</v>
      </c>
      <c r="C40" s="1474">
        <f t="shared" si="51"/>
        <v>181.69567812247232</v>
      </c>
      <c r="D40" s="1474">
        <f t="shared" si="35"/>
        <v>181.69567812247232</v>
      </c>
      <c r="E40" s="1474">
        <f t="shared" si="52"/>
        <v>286.13517466736738</v>
      </c>
      <c r="F40" s="1474">
        <f t="shared" si="52"/>
        <v>165.47535084591149</v>
      </c>
      <c r="G40" s="3299">
        <v>2009</v>
      </c>
      <c r="H40" s="1462">
        <v>2</v>
      </c>
      <c r="I40" s="1462">
        <v>0.86</v>
      </c>
      <c r="J40" s="1462">
        <v>-1.1299999999999999</v>
      </c>
      <c r="K40" s="1462">
        <v>1.79</v>
      </c>
      <c r="L40" s="1476">
        <v>-2.0699999999999998</v>
      </c>
      <c r="N40" s="1469">
        <f t="shared" si="37"/>
        <v>8.6E-3</v>
      </c>
      <c r="O40" s="1486">
        <f t="shared" si="37"/>
        <v>-1.1299999999999999E-2</v>
      </c>
      <c r="P40" s="1486">
        <f t="shared" si="37"/>
        <v>1.7899999999999999E-2</v>
      </c>
      <c r="Q40" s="1486">
        <f t="shared" si="37"/>
        <v>-2.07E-2</v>
      </c>
      <c r="R40" s="1471"/>
      <c r="S40" s="1469"/>
      <c r="T40" s="1470"/>
      <c r="U40" s="1470"/>
      <c r="V40" s="1470"/>
    </row>
    <row r="41" spans="1:26">
      <c r="A41" s="1458" t="s">
        <v>1180</v>
      </c>
      <c r="B41" s="1474">
        <f t="shared" si="51"/>
        <v>208.83454537875372</v>
      </c>
      <c r="C41" s="1474">
        <f t="shared" si="51"/>
        <v>183.77230517090351</v>
      </c>
      <c r="D41" s="1474">
        <f t="shared" si="35"/>
        <v>183.77230517090351</v>
      </c>
      <c r="E41" s="1474">
        <f t="shared" si="52"/>
        <v>281.10342338870947</v>
      </c>
      <c r="F41" s="1474">
        <f t="shared" si="52"/>
        <v>168.97309388942256</v>
      </c>
      <c r="G41" s="3300">
        <v>2009</v>
      </c>
      <c r="H41" s="1461">
        <v>1</v>
      </c>
      <c r="I41" s="1461">
        <v>-2.64</v>
      </c>
      <c r="J41" s="1461">
        <v>-2.5299999999999998</v>
      </c>
      <c r="K41" s="1461">
        <v>-3.02</v>
      </c>
      <c r="L41" s="1475">
        <v>1.52</v>
      </c>
      <c r="N41" s="1477">
        <f t="shared" si="37"/>
        <v>-2.64E-2</v>
      </c>
      <c r="O41" s="1478">
        <f t="shared" si="37"/>
        <v>-2.53E-2</v>
      </c>
      <c r="P41" s="1478">
        <f t="shared" si="37"/>
        <v>-3.0200000000000001E-2</v>
      </c>
      <c r="Q41" s="1478">
        <f t="shared" si="37"/>
        <v>1.52E-2</v>
      </c>
      <c r="R41" s="1471"/>
      <c r="S41" s="1477">
        <f>B41/B42-1</f>
        <v>-2.4137638417038754E-2</v>
      </c>
      <c r="T41" s="1478">
        <f>C41/C42-1</f>
        <v>-2.248773845264096E-2</v>
      </c>
      <c r="U41" s="1478">
        <f>E41/E42-1</f>
        <v>-2.7323794502735366E-2</v>
      </c>
      <c r="V41" s="1478">
        <f>F41/F42-1</f>
        <v>1.7910204153148035E-2</v>
      </c>
      <c r="X41" s="1457"/>
      <c r="Y41" s="1457"/>
      <c r="Z41" s="1457"/>
    </row>
    <row r="42" spans="1:26" ht="13.5" thickBot="1">
      <c r="A42" s="1458" t="s">
        <v>1181</v>
      </c>
      <c r="B42" s="1508">
        <v>214</v>
      </c>
      <c r="C42" s="1508">
        <v>188</v>
      </c>
      <c r="D42" s="1508">
        <f t="shared" si="35"/>
        <v>188</v>
      </c>
      <c r="E42" s="1508">
        <v>289</v>
      </c>
      <c r="F42" s="1509">
        <v>166</v>
      </c>
      <c r="G42" s="3298">
        <v>2008</v>
      </c>
      <c r="H42" s="1479">
        <v>4</v>
      </c>
      <c r="I42" s="1479">
        <v>1.73</v>
      </c>
      <c r="J42" s="1479">
        <v>0.03</v>
      </c>
      <c r="K42" s="1479">
        <v>2.59</v>
      </c>
      <c r="L42" s="1480">
        <v>-1.66</v>
      </c>
      <c r="N42" s="1469">
        <f t="shared" si="37"/>
        <v>1.7299999999999999E-2</v>
      </c>
      <c r="O42" s="1470">
        <f t="shared" si="37"/>
        <v>2.9999999999999997E-4</v>
      </c>
      <c r="P42" s="1470">
        <f t="shared" si="37"/>
        <v>2.5899999999999999E-2</v>
      </c>
      <c r="Q42" s="1470">
        <f t="shared" si="37"/>
        <v>-1.66E-2</v>
      </c>
      <c r="R42" s="1471"/>
      <c r="S42" s="1472"/>
      <c r="T42" s="1473"/>
      <c r="U42" s="1473"/>
      <c r="V42" s="1473"/>
      <c r="X42" s="1473"/>
      <c r="Y42" s="1473"/>
      <c r="Z42" s="1473"/>
    </row>
    <row r="43" spans="1:26">
      <c r="A43" s="1458" t="s">
        <v>1182</v>
      </c>
      <c r="B43" s="1474">
        <f t="shared" ref="B43:C45" si="53">B42/(1+N42)</f>
        <v>210.36075887152265</v>
      </c>
      <c r="C43" s="1474">
        <f t="shared" si="53"/>
        <v>187.94361691492554</v>
      </c>
      <c r="D43" s="1474">
        <f t="shared" si="35"/>
        <v>187.94361691492554</v>
      </c>
      <c r="E43" s="1474">
        <f t="shared" ref="E43:F45" si="54">E42/(1+P42)</f>
        <v>281.70386977288234</v>
      </c>
      <c r="F43" s="1474">
        <f t="shared" si="54"/>
        <v>168.80211511083994</v>
      </c>
      <c r="G43" s="3299">
        <v>2008</v>
      </c>
      <c r="H43" s="1484">
        <v>3</v>
      </c>
      <c r="I43" s="1484">
        <v>1.96</v>
      </c>
      <c r="J43" s="1484">
        <v>2.36</v>
      </c>
      <c r="K43" s="1484">
        <v>1.82</v>
      </c>
      <c r="L43" s="1485">
        <v>2.2200000000000002</v>
      </c>
      <c r="N43" s="1469">
        <f t="shared" si="37"/>
        <v>1.9599999999999999E-2</v>
      </c>
      <c r="O43" s="1470">
        <f t="shared" si="37"/>
        <v>2.3599999999999999E-2</v>
      </c>
      <c r="P43" s="1470">
        <f t="shared" si="37"/>
        <v>1.8200000000000001E-2</v>
      </c>
      <c r="Q43" s="1470">
        <f t="shared" si="37"/>
        <v>2.2200000000000001E-2</v>
      </c>
      <c r="R43" s="1471"/>
      <c r="S43" s="1469"/>
      <c r="T43" s="1470"/>
      <c r="U43" s="1470"/>
      <c r="V43" s="1470"/>
    </row>
    <row r="44" spans="1:26">
      <c r="A44" s="1458" t="s">
        <v>1183</v>
      </c>
      <c r="B44" s="1474">
        <f t="shared" si="53"/>
        <v>206.31694671589116</v>
      </c>
      <c r="C44" s="1474">
        <f t="shared" si="53"/>
        <v>183.61041121036101</v>
      </c>
      <c r="D44" s="1474">
        <f t="shared" si="35"/>
        <v>183.61041121036101</v>
      </c>
      <c r="E44" s="1474">
        <f t="shared" si="54"/>
        <v>276.66850301795557</v>
      </c>
      <c r="F44" s="1474">
        <f t="shared" si="54"/>
        <v>165.1360938278614</v>
      </c>
      <c r="G44" s="3299">
        <v>2008</v>
      </c>
      <c r="H44" s="1462">
        <v>2</v>
      </c>
      <c r="I44" s="1462">
        <v>4.93</v>
      </c>
      <c r="J44" s="1462">
        <v>7.38</v>
      </c>
      <c r="K44" s="1462">
        <v>3.98</v>
      </c>
      <c r="L44" s="1476">
        <v>6.86</v>
      </c>
      <c r="N44" s="1469">
        <f t="shared" si="37"/>
        <v>4.9299999999999997E-2</v>
      </c>
      <c r="O44" s="1470">
        <f t="shared" si="37"/>
        <v>7.3800000000000004E-2</v>
      </c>
      <c r="P44" s="1470">
        <f t="shared" si="37"/>
        <v>3.9800000000000002E-2</v>
      </c>
      <c r="Q44" s="1470">
        <f t="shared" si="37"/>
        <v>6.8600000000000008E-2</v>
      </c>
      <c r="R44" s="1471"/>
      <c r="S44" s="1469"/>
      <c r="T44" s="1470"/>
      <c r="U44" s="1470"/>
      <c r="V44" s="1470"/>
    </row>
    <row r="45" spans="1:26" s="1514" customFormat="1" ht="13.5" thickBot="1">
      <c r="A45" s="1458" t="s">
        <v>1184</v>
      </c>
      <c r="B45" s="1511">
        <f t="shared" si="53"/>
        <v>196.62341248059772</v>
      </c>
      <c r="C45" s="1511">
        <f t="shared" si="53"/>
        <v>170.99125648199012</v>
      </c>
      <c r="D45" s="1511">
        <f t="shared" si="35"/>
        <v>170.99125648199012</v>
      </c>
      <c r="E45" s="1511">
        <f t="shared" si="54"/>
        <v>266.07857570490052</v>
      </c>
      <c r="F45" s="1511">
        <f t="shared" si="54"/>
        <v>154.53499328828505</v>
      </c>
      <c r="G45" s="3300">
        <v>2008</v>
      </c>
      <c r="H45" s="1512">
        <v>1</v>
      </c>
      <c r="I45" s="1512">
        <v>4.1399999999999997</v>
      </c>
      <c r="J45" s="1512">
        <v>3.45</v>
      </c>
      <c r="K45" s="1512">
        <v>4.95</v>
      </c>
      <c r="L45" s="1513">
        <v>4.82</v>
      </c>
      <c r="N45" s="1515">
        <f t="shared" si="37"/>
        <v>4.1399999999999999E-2</v>
      </c>
      <c r="O45" s="1516">
        <f t="shared" si="37"/>
        <v>3.4500000000000003E-2</v>
      </c>
      <c r="P45" s="1516">
        <f t="shared" si="37"/>
        <v>4.9500000000000002E-2</v>
      </c>
      <c r="Q45" s="1516">
        <f t="shared" si="37"/>
        <v>4.82E-2</v>
      </c>
      <c r="R45" s="1517"/>
      <c r="S45" s="1515">
        <f>B45/B46-1</f>
        <v>4.5869215322328349E-2</v>
      </c>
      <c r="T45" s="1516">
        <f>C45/C46-1</f>
        <v>3.6310645345394743E-2</v>
      </c>
      <c r="U45" s="1516">
        <f>E45/E46-1</f>
        <v>4.7553447657088688E-2</v>
      </c>
      <c r="V45" s="1516">
        <f>F45/F46-1</f>
        <v>4.4155360055980086E-2</v>
      </c>
      <c r="X45" s="1518"/>
      <c r="Y45" s="1518"/>
      <c r="Z45" s="1518"/>
    </row>
    <row r="46" spans="1:26" ht="13.5" thickBot="1">
      <c r="A46" s="1458" t="s">
        <v>1185</v>
      </c>
      <c r="B46" s="1466">
        <v>188</v>
      </c>
      <c r="C46" s="1466">
        <v>165</v>
      </c>
      <c r="D46" s="1466">
        <f t="shared" si="35"/>
        <v>165</v>
      </c>
      <c r="E46" s="1466">
        <v>254</v>
      </c>
      <c r="F46" s="1467">
        <v>148</v>
      </c>
      <c r="G46" s="3298">
        <v>2007</v>
      </c>
      <c r="H46" s="1519">
        <v>4</v>
      </c>
      <c r="I46" s="1519">
        <v>5.51</v>
      </c>
      <c r="J46" s="1519">
        <v>4.8899999999999997</v>
      </c>
      <c r="K46" s="1519">
        <v>6.43</v>
      </c>
      <c r="L46" s="1520">
        <v>5.36</v>
      </c>
      <c r="N46" s="1521">
        <f t="shared" ref="N46:O49" si="55">B46/B47-1</f>
        <v>4.1339718365245526E-2</v>
      </c>
      <c r="O46" s="1522">
        <f t="shared" si="55"/>
        <v>4.0324492593776018E-2</v>
      </c>
      <c r="P46" s="1522">
        <f t="shared" ref="P46:Q49" si="56">E46/E47-1</f>
        <v>6.1625555347990968E-2</v>
      </c>
      <c r="Q46" s="1522">
        <f t="shared" si="56"/>
        <v>4.6757569250590603E-2</v>
      </c>
      <c r="R46" s="1471"/>
      <c r="S46" s="1472"/>
      <c r="T46" s="1473"/>
      <c r="U46" s="1473"/>
      <c r="V46" s="1473"/>
      <c r="X46" s="1473"/>
      <c r="Y46" s="1473"/>
      <c r="Z46" s="1473"/>
    </row>
    <row r="47" spans="1:26">
      <c r="A47" s="1458" t="s">
        <v>1186</v>
      </c>
      <c r="B47" s="1474">
        <f t="shared" ref="B47:C49" si="57">B48+(B$46-B$50)*I47/SUM(I$46:I$49)</f>
        <v>180.5366651097618</v>
      </c>
      <c r="C47" s="1474">
        <f t="shared" si="57"/>
        <v>158.60435967302453</v>
      </c>
      <c r="D47" s="1474">
        <f t="shared" si="35"/>
        <v>158.60435967302453</v>
      </c>
      <c r="E47" s="1474">
        <f t="shared" ref="E47:F49" si="58">E48+(E$46-E$50)*K47/SUM(K$46:K$49)</f>
        <v>239.25573260785075</v>
      </c>
      <c r="F47" s="1474">
        <f t="shared" si="58"/>
        <v>141.38899430740037</v>
      </c>
      <c r="G47" s="3299">
        <v>2007</v>
      </c>
      <c r="H47" s="1484">
        <v>3</v>
      </c>
      <c r="I47" s="1484">
        <v>8.65</v>
      </c>
      <c r="J47" s="1484">
        <v>8.06</v>
      </c>
      <c r="K47" s="1484">
        <v>9.94</v>
      </c>
      <c r="L47" s="1485">
        <v>5.8</v>
      </c>
      <c r="N47" s="1521">
        <f t="shared" si="55"/>
        <v>6.940217571740015E-2</v>
      </c>
      <c r="O47" s="1522">
        <f t="shared" si="55"/>
        <v>7.1197482471153428E-2</v>
      </c>
      <c r="P47" s="1522">
        <f t="shared" si="56"/>
        <v>0.10529679922579582</v>
      </c>
      <c r="Q47" s="1522">
        <f t="shared" si="56"/>
        <v>5.3292245059512133E-2</v>
      </c>
      <c r="R47" s="1471"/>
      <c r="S47" s="1469"/>
      <c r="T47" s="1470"/>
      <c r="U47" s="1470"/>
      <c r="V47" s="1470"/>
      <c r="X47" s="1523"/>
      <c r="Y47" s="1523"/>
      <c r="Z47" s="1523"/>
    </row>
    <row r="48" spans="1:26">
      <c r="A48" s="1458" t="s">
        <v>1187</v>
      </c>
      <c r="B48" s="1474">
        <f t="shared" si="57"/>
        <v>168.82017748715555</v>
      </c>
      <c r="C48" s="1474">
        <f t="shared" si="57"/>
        <v>148.06267029972753</v>
      </c>
      <c r="D48" s="1474">
        <f t="shared" si="35"/>
        <v>148.06267029972753</v>
      </c>
      <c r="E48" s="1474">
        <f t="shared" si="58"/>
        <v>216.46288379323747</v>
      </c>
      <c r="F48" s="1474">
        <f t="shared" si="58"/>
        <v>134.23529411764704</v>
      </c>
      <c r="G48" s="3299">
        <v>2007</v>
      </c>
      <c r="H48" s="1462">
        <v>2</v>
      </c>
      <c r="I48" s="1462">
        <v>3.67</v>
      </c>
      <c r="J48" s="1462">
        <v>2.3199999999999998</v>
      </c>
      <c r="K48" s="1462">
        <v>5.0199999999999996</v>
      </c>
      <c r="L48" s="1476">
        <v>6.71</v>
      </c>
      <c r="N48" s="1521">
        <f t="shared" si="55"/>
        <v>3.0339138143848032E-2</v>
      </c>
      <c r="O48" s="1522">
        <f t="shared" si="55"/>
        <v>2.0922341588790472E-2</v>
      </c>
      <c r="P48" s="1522">
        <f t="shared" si="56"/>
        <v>5.6164796592717003E-2</v>
      </c>
      <c r="Q48" s="1522">
        <f t="shared" si="56"/>
        <v>6.5704536723887319E-2</v>
      </c>
      <c r="R48" s="1471"/>
      <c r="S48" s="1469"/>
      <c r="T48" s="1470"/>
      <c r="U48" s="1470"/>
      <c r="V48" s="1470"/>
      <c r="X48" s="1523"/>
      <c r="Y48" s="1523"/>
      <c r="Z48" s="1523"/>
    </row>
    <row r="49" spans="1:26">
      <c r="A49" s="1458" t="s">
        <v>1188</v>
      </c>
      <c r="B49" s="1474">
        <f t="shared" si="57"/>
        <v>163.84913591779542</v>
      </c>
      <c r="C49" s="1474">
        <f t="shared" si="57"/>
        <v>145.0283378746594</v>
      </c>
      <c r="D49" s="1474">
        <f t="shared" si="35"/>
        <v>145.0283378746594</v>
      </c>
      <c r="E49" s="1474">
        <f t="shared" si="58"/>
        <v>204.95180722891567</v>
      </c>
      <c r="F49" s="1474">
        <f t="shared" si="58"/>
        <v>125.95920303605313</v>
      </c>
      <c r="G49" s="3300">
        <v>2007</v>
      </c>
      <c r="H49" s="1461">
        <v>1</v>
      </c>
      <c r="I49" s="1461">
        <v>3.58</v>
      </c>
      <c r="J49" s="1461">
        <v>3.08</v>
      </c>
      <c r="K49" s="1461">
        <v>4.34</v>
      </c>
      <c r="L49" s="1475">
        <v>3.21</v>
      </c>
      <c r="N49" s="1524">
        <f t="shared" si="55"/>
        <v>3.0497710174814063E-2</v>
      </c>
      <c r="O49" s="1525">
        <f t="shared" si="55"/>
        <v>2.8569772160704998E-2</v>
      </c>
      <c r="P49" s="1525">
        <f t="shared" si="56"/>
        <v>5.1034908866234296E-2</v>
      </c>
      <c r="Q49" s="1525">
        <f t="shared" si="56"/>
        <v>3.245248390207478E-2</v>
      </c>
      <c r="R49" s="1471"/>
      <c r="S49" s="1477">
        <f>B49/B50-1</f>
        <v>3.0497710174814063E-2</v>
      </c>
      <c r="T49" s="1478">
        <f>C49/C50-1</f>
        <v>2.8569772160704998E-2</v>
      </c>
      <c r="U49" s="1478">
        <f>E49/E50-1</f>
        <v>5.1034908866234296E-2</v>
      </c>
      <c r="V49" s="1478">
        <f>F49/F50-1</f>
        <v>3.245248390207478E-2</v>
      </c>
      <c r="X49" s="1523"/>
      <c r="Y49" s="1523"/>
      <c r="Z49" s="1523"/>
    </row>
    <row r="50" spans="1:26" ht="13.5" thickBot="1">
      <c r="A50" s="1458" t="s">
        <v>1189</v>
      </c>
      <c r="B50" s="1487">
        <v>159</v>
      </c>
      <c r="C50" s="1487">
        <v>141</v>
      </c>
      <c r="D50" s="1487">
        <f t="shared" si="35"/>
        <v>141</v>
      </c>
      <c r="E50" s="1487">
        <v>195</v>
      </c>
      <c r="F50" s="1488">
        <v>122</v>
      </c>
      <c r="G50" s="3298">
        <v>2006</v>
      </c>
      <c r="H50" s="1479">
        <v>4</v>
      </c>
      <c r="I50" s="1479">
        <v>3.79</v>
      </c>
      <c r="J50" s="1479">
        <v>2.21</v>
      </c>
      <c r="K50" s="1479">
        <v>5.65</v>
      </c>
      <c r="L50" s="1480">
        <v>5.41</v>
      </c>
      <c r="N50" s="1521">
        <f t="shared" ref="N50:O53" si="59">I50/SUM(I$50:I$53)*(B$50/B$54-1)</f>
        <v>7.245466462748526E-2</v>
      </c>
      <c r="O50" s="1522">
        <f t="shared" si="59"/>
        <v>2.3237230038062766E-2</v>
      </c>
      <c r="P50" s="1522">
        <f t="shared" ref="P50:Q53" si="60">K50/SUM(K$50:K$53)*(E$50/E$54-1)</f>
        <v>0.16146893866323722</v>
      </c>
      <c r="Q50" s="1522">
        <f t="shared" si="60"/>
        <v>5.0755230321793784E-2</v>
      </c>
      <c r="R50" s="1471"/>
      <c r="S50" s="1472"/>
      <c r="T50" s="1473"/>
      <c r="U50" s="1473"/>
      <c r="V50" s="1473"/>
      <c r="X50" s="1523"/>
      <c r="Y50" s="1523"/>
      <c r="Z50" s="1523"/>
    </row>
    <row r="51" spans="1:26">
      <c r="A51" s="1458" t="s">
        <v>1190</v>
      </c>
      <c r="B51" s="1474">
        <f t="shared" ref="B51:C53" si="61">B52+(B$50-B$54)*I51/SUM(I$50:I$53)</f>
        <v>149.00125628140702</v>
      </c>
      <c r="C51" s="1474">
        <f t="shared" si="61"/>
        <v>137.95592286501378</v>
      </c>
      <c r="D51" s="1474">
        <f t="shared" si="35"/>
        <v>137.95592286501378</v>
      </c>
      <c r="E51" s="1474">
        <f t="shared" ref="E51:F53" si="62">E52+(E$50-E$54)*K51/SUM(K$50:K$53)</f>
        <v>169.97231450719823</v>
      </c>
      <c r="F51" s="1474">
        <f t="shared" si="62"/>
        <v>116.21390374331551</v>
      </c>
      <c r="G51" s="3299">
        <v>2006</v>
      </c>
      <c r="H51" s="1484">
        <v>3</v>
      </c>
      <c r="I51" s="1484">
        <v>0.92</v>
      </c>
      <c r="J51" s="1484">
        <v>1.08</v>
      </c>
      <c r="K51" s="1484">
        <v>0.73</v>
      </c>
      <c r="L51" s="1485">
        <v>1.08</v>
      </c>
      <c r="N51" s="1521">
        <f t="shared" si="59"/>
        <v>1.7587939698492462E-2</v>
      </c>
      <c r="O51" s="1522">
        <f t="shared" si="59"/>
        <v>1.1355750425840628E-2</v>
      </c>
      <c r="P51" s="1522">
        <f t="shared" si="60"/>
        <v>2.0862358446754544E-2</v>
      </c>
      <c r="Q51" s="1522">
        <f t="shared" si="60"/>
        <v>1.0132282578103011E-2</v>
      </c>
      <c r="R51" s="1471"/>
      <c r="S51" s="1469"/>
      <c r="T51" s="1470"/>
      <c r="U51" s="1470"/>
      <c r="V51" s="1470"/>
      <c r="X51" s="1523"/>
      <c r="Y51" s="1523"/>
      <c r="Z51" s="1523"/>
    </row>
    <row r="52" spans="1:26">
      <c r="A52" s="1458" t="s">
        <v>1191</v>
      </c>
      <c r="B52" s="1474">
        <f t="shared" si="61"/>
        <v>146.57412060301507</v>
      </c>
      <c r="C52" s="1474">
        <f t="shared" si="61"/>
        <v>136.46831955922866</v>
      </c>
      <c r="D52" s="1474">
        <f t="shared" si="35"/>
        <v>136.46831955922866</v>
      </c>
      <c r="E52" s="1474">
        <f t="shared" si="62"/>
        <v>166.73864894795128</v>
      </c>
      <c r="F52" s="1474">
        <f t="shared" si="62"/>
        <v>115.05882352941177</v>
      </c>
      <c r="G52" s="3299">
        <v>2006</v>
      </c>
      <c r="H52" s="1462">
        <v>2</v>
      </c>
      <c r="I52" s="1462">
        <v>0.96</v>
      </c>
      <c r="J52" s="1462">
        <v>0.25</v>
      </c>
      <c r="K52" s="1462">
        <v>1.9</v>
      </c>
      <c r="L52" s="1476">
        <v>0.95</v>
      </c>
      <c r="N52" s="1521">
        <f t="shared" si="59"/>
        <v>1.8352632728861701E-2</v>
      </c>
      <c r="O52" s="1522">
        <f t="shared" si="59"/>
        <v>2.6286459319075526E-3</v>
      </c>
      <c r="P52" s="1522">
        <f t="shared" si="60"/>
        <v>5.4299289107991269E-2</v>
      </c>
      <c r="Q52" s="1522">
        <f t="shared" si="60"/>
        <v>8.9126559714794995E-3</v>
      </c>
      <c r="R52" s="1471"/>
      <c r="S52" s="1469"/>
      <c r="T52" s="1470"/>
      <c r="U52" s="1470"/>
      <c r="V52" s="1470"/>
      <c r="X52" s="1523"/>
      <c r="Y52" s="1523"/>
      <c r="Z52" s="1523"/>
    </row>
    <row r="53" spans="1:26">
      <c r="A53" s="1458" t="s">
        <v>1192</v>
      </c>
      <c r="B53" s="1474">
        <f t="shared" si="61"/>
        <v>144.04145728643215</v>
      </c>
      <c r="C53" s="1474">
        <f t="shared" si="61"/>
        <v>136.12396694214877</v>
      </c>
      <c r="D53" s="1474">
        <f t="shared" si="35"/>
        <v>136.12396694214877</v>
      </c>
      <c r="E53" s="1474">
        <f t="shared" si="62"/>
        <v>158.32225913621264</v>
      </c>
      <c r="F53" s="1474">
        <f t="shared" si="62"/>
        <v>114.04278074866311</v>
      </c>
      <c r="G53" s="3300">
        <v>2006</v>
      </c>
      <c r="H53" s="1461">
        <v>1</v>
      </c>
      <c r="I53" s="1461">
        <v>2.29</v>
      </c>
      <c r="J53" s="1461">
        <v>3.72</v>
      </c>
      <c r="K53" s="1461">
        <v>0.75</v>
      </c>
      <c r="L53" s="1475">
        <v>0.04</v>
      </c>
      <c r="N53" s="1524">
        <f t="shared" si="59"/>
        <v>4.3778675988638847E-2</v>
      </c>
      <c r="O53" s="1525">
        <f t="shared" si="59"/>
        <v>3.9114251466784385E-2</v>
      </c>
      <c r="P53" s="1525">
        <f t="shared" si="60"/>
        <v>2.1433929911049188E-2</v>
      </c>
      <c r="Q53" s="1525">
        <f t="shared" si="60"/>
        <v>3.7526972511492629E-4</v>
      </c>
      <c r="R53" s="1471"/>
      <c r="S53" s="1477">
        <f>B53/B54-1</f>
        <v>4.3778675988638716E-2</v>
      </c>
      <c r="T53" s="1478">
        <f>C53/C54-1</f>
        <v>3.91142514667846E-2</v>
      </c>
      <c r="U53" s="1478">
        <f>E53/E54-1</f>
        <v>2.143392991104931E-2</v>
      </c>
      <c r="V53" s="1478">
        <f>F53/F54-1</f>
        <v>3.7526972511492396E-4</v>
      </c>
      <c r="X53" s="1523"/>
      <c r="Y53" s="1523"/>
      <c r="Z53" s="1523"/>
    </row>
    <row r="54" spans="1:26" ht="13.5" thickBot="1">
      <c r="A54" s="1458" t="s">
        <v>1193</v>
      </c>
      <c r="B54" s="1487">
        <v>138</v>
      </c>
      <c r="C54" s="1487">
        <v>131</v>
      </c>
      <c r="D54" s="1487">
        <f t="shared" si="35"/>
        <v>131</v>
      </c>
      <c r="E54" s="1487">
        <v>155</v>
      </c>
      <c r="F54" s="1488">
        <v>114</v>
      </c>
      <c r="G54" s="3298">
        <v>2005</v>
      </c>
      <c r="H54" s="1479">
        <v>4</v>
      </c>
      <c r="I54" s="1479">
        <v>3.29</v>
      </c>
      <c r="J54" s="1479">
        <v>1.44</v>
      </c>
      <c r="K54" s="1479">
        <v>0.66</v>
      </c>
      <c r="L54" s="1480">
        <v>7.78</v>
      </c>
      <c r="N54" s="1521">
        <f t="shared" ref="N54:O57" si="63">I54/SUM(I$54:I$57)*(B$54/B$58-1)</f>
        <v>9.9404603216919935E-2</v>
      </c>
      <c r="O54" s="1522">
        <f t="shared" si="63"/>
        <v>4.7636550760861554E-2</v>
      </c>
      <c r="P54" s="1522">
        <f t="shared" ref="P54:Q57" si="64">K54/SUM(K$54:K$57)*(E$54/E$58-1)</f>
        <v>8.3756345177664976E-2</v>
      </c>
      <c r="Q54" s="1522">
        <f t="shared" si="64"/>
        <v>5.2148766661559584E-2</v>
      </c>
      <c r="R54" s="1471"/>
      <c r="S54" s="1472"/>
      <c r="T54" s="1473"/>
      <c r="U54" s="1473"/>
      <c r="V54" s="1473"/>
      <c r="X54" s="1523"/>
      <c r="Y54" s="1523"/>
      <c r="Z54" s="1523"/>
    </row>
    <row r="55" spans="1:26">
      <c r="A55" s="1458" t="s">
        <v>1194</v>
      </c>
      <c r="B55" s="1474">
        <f t="shared" ref="B55:C57" si="65">B56+(B$54-B$58)*I55/SUM(I$54:I$57)</f>
        <v>125.9720430107527</v>
      </c>
      <c r="C55" s="1474">
        <f t="shared" si="65"/>
        <v>125.1883408071749</v>
      </c>
      <c r="D55" s="1474">
        <f t="shared" si="35"/>
        <v>125.1883408071749</v>
      </c>
      <c r="E55" s="1474">
        <f t="shared" ref="E55:F57" si="66">E56+(E$54-E$58)*K55/SUM(K$54:K$57)</f>
        <v>144.61421319796952</v>
      </c>
      <c r="F55" s="1474">
        <f t="shared" si="66"/>
        <v>108.42008196721311</v>
      </c>
      <c r="G55" s="3299">
        <v>2005</v>
      </c>
      <c r="H55" s="1484">
        <v>3</v>
      </c>
      <c r="I55" s="1484">
        <v>0.46</v>
      </c>
      <c r="J55" s="1484">
        <v>0.32</v>
      </c>
      <c r="K55" s="1484">
        <v>0.42</v>
      </c>
      <c r="L55" s="1485">
        <v>0.64</v>
      </c>
      <c r="N55" s="1521">
        <f t="shared" si="63"/>
        <v>1.3898515951301874E-2</v>
      </c>
      <c r="O55" s="1522">
        <f t="shared" si="63"/>
        <v>1.0585900169080346E-2</v>
      </c>
      <c r="P55" s="1522">
        <f t="shared" si="64"/>
        <v>5.3299492385786795E-2</v>
      </c>
      <c r="Q55" s="1522">
        <f t="shared" si="64"/>
        <v>4.2898728359123568E-3</v>
      </c>
      <c r="R55" s="1471"/>
      <c r="S55" s="1469"/>
      <c r="T55" s="1470"/>
      <c r="U55" s="1470"/>
      <c r="V55" s="1470"/>
      <c r="X55" s="1523"/>
      <c r="Y55" s="1523"/>
      <c r="Z55" s="1523"/>
    </row>
    <row r="56" spans="1:26">
      <c r="A56" s="1458" t="s">
        <v>1195</v>
      </c>
      <c r="B56" s="1474">
        <f t="shared" si="65"/>
        <v>124.29032258064517</v>
      </c>
      <c r="C56" s="1474">
        <f t="shared" si="65"/>
        <v>123.8968609865471</v>
      </c>
      <c r="D56" s="1474">
        <f t="shared" si="35"/>
        <v>123.8968609865471</v>
      </c>
      <c r="E56" s="1474">
        <f t="shared" si="66"/>
        <v>138.00507614213197</v>
      </c>
      <c r="F56" s="1474">
        <f t="shared" si="66"/>
        <v>107.96106557377048</v>
      </c>
      <c r="G56" s="3299">
        <v>2005</v>
      </c>
      <c r="H56" s="1462">
        <v>2</v>
      </c>
      <c r="I56" s="1462">
        <v>0.47</v>
      </c>
      <c r="J56" s="1462">
        <v>0.1</v>
      </c>
      <c r="K56" s="1462">
        <v>0.52</v>
      </c>
      <c r="L56" s="1476">
        <v>0.79</v>
      </c>
      <c r="N56" s="1521">
        <f t="shared" si="63"/>
        <v>1.420065760241713E-2</v>
      </c>
      <c r="O56" s="1522">
        <f t="shared" si="63"/>
        <v>3.3080938028376083E-3</v>
      </c>
      <c r="P56" s="1522">
        <f t="shared" si="64"/>
        <v>6.598984771573603E-2</v>
      </c>
      <c r="Q56" s="1522">
        <f t="shared" si="64"/>
        <v>5.2953117818293153E-3</v>
      </c>
      <c r="R56" s="1471"/>
      <c r="S56" s="1469"/>
      <c r="T56" s="1470"/>
      <c r="U56" s="1470"/>
      <c r="V56" s="1470"/>
      <c r="X56" s="1523"/>
      <c r="Y56" s="1523"/>
      <c r="Z56" s="1523"/>
    </row>
    <row r="57" spans="1:26">
      <c r="A57" s="1458" t="s">
        <v>1196</v>
      </c>
      <c r="B57" s="1474">
        <f t="shared" si="65"/>
        <v>122.57204301075269</v>
      </c>
      <c r="C57" s="1474">
        <f t="shared" si="65"/>
        <v>123.4932735426009</v>
      </c>
      <c r="D57" s="1474">
        <f t="shared" si="35"/>
        <v>123.4932735426009</v>
      </c>
      <c r="E57" s="1474">
        <f t="shared" si="66"/>
        <v>129.82233502538071</v>
      </c>
      <c r="F57" s="1474">
        <f t="shared" si="66"/>
        <v>107.39446721311475</v>
      </c>
      <c r="G57" s="3300">
        <v>2005</v>
      </c>
      <c r="H57" s="1461">
        <v>1</v>
      </c>
      <c r="I57" s="1461">
        <v>0.43</v>
      </c>
      <c r="J57" s="1461">
        <v>0.37</v>
      </c>
      <c r="K57" s="1461">
        <v>0.37</v>
      </c>
      <c r="L57" s="1475">
        <v>0.55000000000000004</v>
      </c>
      <c r="N57" s="1524">
        <f t="shared" si="63"/>
        <v>1.2992090997956099E-2</v>
      </c>
      <c r="O57" s="1525">
        <f t="shared" si="63"/>
        <v>1.2239947070499151E-2</v>
      </c>
      <c r="P57" s="1525">
        <f t="shared" si="64"/>
        <v>4.6954314720812178E-2</v>
      </c>
      <c r="Q57" s="1525">
        <f t="shared" si="64"/>
        <v>3.6866094683621815E-3</v>
      </c>
      <c r="R57" s="1471"/>
      <c r="S57" s="1477">
        <f>B57/B58-1</f>
        <v>1.2992090997956174E-2</v>
      </c>
      <c r="T57" s="1478">
        <f>C57/C58-1</f>
        <v>1.2239947070499246E-2</v>
      </c>
      <c r="U57" s="1478">
        <f>E57/E58-1</f>
        <v>4.695431472081224E-2</v>
      </c>
      <c r="V57" s="1478">
        <f>F57/F58-1</f>
        <v>3.6866094683620787E-3</v>
      </c>
      <c r="X57" s="1523"/>
      <c r="Y57" s="1523"/>
      <c r="Z57" s="1523"/>
    </row>
    <row r="58" spans="1:26" ht="13.5" thickBot="1">
      <c r="A58" s="1458" t="s">
        <v>1197</v>
      </c>
      <c r="B58" s="1508">
        <v>121</v>
      </c>
      <c r="C58" s="1508">
        <v>122</v>
      </c>
      <c r="D58" s="1508">
        <f t="shared" si="35"/>
        <v>122</v>
      </c>
      <c r="E58" s="1508">
        <v>124</v>
      </c>
      <c r="F58" s="1509">
        <v>107</v>
      </c>
      <c r="G58" s="3298">
        <v>2004</v>
      </c>
      <c r="H58" s="1479">
        <v>4</v>
      </c>
      <c r="I58" s="1479">
        <v>0.33</v>
      </c>
      <c r="J58" s="1479">
        <v>0.5</v>
      </c>
      <c r="K58" s="1479">
        <v>0.5</v>
      </c>
      <c r="L58" s="1480">
        <v>0</v>
      </c>
      <c r="N58" s="1521">
        <f t="shared" ref="N58:O61" si="67">I58/SUM(I$58:I$61)*(B$58/B$62-1)</f>
        <v>1.3391770148526898E-2</v>
      </c>
      <c r="O58" s="1522">
        <f t="shared" si="67"/>
        <v>1.063264221158958E-2</v>
      </c>
      <c r="P58" s="1522">
        <f t="shared" ref="P58:Q61" si="68">K58/SUM(K$58:K$61)*(E$58/E$62-1)</f>
        <v>2.2244466688911134E-2</v>
      </c>
      <c r="Q58" s="1522">
        <f t="shared" si="68"/>
        <v>0</v>
      </c>
      <c r="R58" s="1471"/>
      <c r="S58" s="1472"/>
      <c r="T58" s="1473"/>
      <c r="U58" s="1473"/>
      <c r="V58" s="1473"/>
      <c r="X58" s="1523"/>
      <c r="Y58" s="1523"/>
      <c r="Z58" s="1523"/>
    </row>
    <row r="59" spans="1:26">
      <c r="A59" s="1458" t="s">
        <v>1198</v>
      </c>
      <c r="B59" s="1474">
        <f t="shared" ref="B59:C61" si="69">B60+(B$58-B$62)*I59/SUM(I$58:I$61)</f>
        <v>119.51351351351352</v>
      </c>
      <c r="C59" s="1474">
        <f t="shared" si="69"/>
        <v>120.7878787878788</v>
      </c>
      <c r="D59" s="1474">
        <f t="shared" si="35"/>
        <v>120.7878787878788</v>
      </c>
      <c r="E59" s="1474">
        <f t="shared" ref="E59:F61" si="70">E60+(E$58-E$62)*K59/SUM(K$58:K$61)</f>
        <v>121.5975975975976</v>
      </c>
      <c r="F59" s="1474">
        <f t="shared" si="70"/>
        <v>107</v>
      </c>
      <c r="G59" s="3299">
        <v>2004</v>
      </c>
      <c r="H59" s="1484">
        <v>3</v>
      </c>
      <c r="I59" s="1484">
        <v>0.56000000000000005</v>
      </c>
      <c r="J59" s="1484">
        <v>0.8</v>
      </c>
      <c r="K59" s="1484">
        <v>0.83</v>
      </c>
      <c r="L59" s="1485">
        <v>0.06</v>
      </c>
      <c r="N59" s="1521">
        <f t="shared" si="67"/>
        <v>2.2725428130833527E-2</v>
      </c>
      <c r="O59" s="1522">
        <f t="shared" si="67"/>
        <v>1.7012227538543329E-2</v>
      </c>
      <c r="P59" s="1522">
        <f t="shared" si="68"/>
        <v>3.6925814703592477E-2</v>
      </c>
      <c r="Q59" s="1522">
        <f t="shared" si="68"/>
        <v>2.8846153846153744E-2</v>
      </c>
      <c r="R59" s="1471"/>
      <c r="S59" s="1469"/>
      <c r="T59" s="1470"/>
      <c r="U59" s="1470"/>
      <c r="V59" s="1470"/>
      <c r="X59" s="1523"/>
      <c r="Y59" s="1523"/>
      <c r="Z59" s="1523"/>
    </row>
    <row r="60" spans="1:26">
      <c r="A60" s="1458" t="s">
        <v>1199</v>
      </c>
      <c r="B60" s="1474">
        <f t="shared" si="69"/>
        <v>116.99099099099099</v>
      </c>
      <c r="C60" s="1474">
        <f t="shared" si="69"/>
        <v>118.84848484848486</v>
      </c>
      <c r="D60" s="1474">
        <f t="shared" si="35"/>
        <v>118.84848484848486</v>
      </c>
      <c r="E60" s="1474">
        <f t="shared" si="70"/>
        <v>117.60960960960961</v>
      </c>
      <c r="F60" s="1474">
        <f t="shared" si="70"/>
        <v>104</v>
      </c>
      <c r="G60" s="3299">
        <v>2004</v>
      </c>
      <c r="H60" s="1462">
        <v>2</v>
      </c>
      <c r="I60" s="1462">
        <v>1</v>
      </c>
      <c r="J60" s="1462">
        <v>1.5</v>
      </c>
      <c r="K60" s="1462">
        <v>1.5</v>
      </c>
      <c r="L60" s="1476">
        <v>0</v>
      </c>
      <c r="N60" s="1521">
        <f t="shared" si="67"/>
        <v>4.0581121662202721E-2</v>
      </c>
      <c r="O60" s="1522">
        <f t="shared" si="67"/>
        <v>3.1897926634768738E-2</v>
      </c>
      <c r="P60" s="1522">
        <f t="shared" si="68"/>
        <v>6.6733400066733395E-2</v>
      </c>
      <c r="Q60" s="1522">
        <f t="shared" si="68"/>
        <v>0</v>
      </c>
      <c r="R60" s="1471"/>
      <c r="S60" s="1469"/>
      <c r="T60" s="1470"/>
      <c r="U60" s="1470"/>
      <c r="V60" s="1470"/>
      <c r="X60" s="1523"/>
      <c r="Y60" s="1523"/>
      <c r="Z60" s="1523"/>
    </row>
    <row r="61" spans="1:26" s="1514" customFormat="1" ht="13.5" thickBot="1">
      <c r="A61" s="1458" t="s">
        <v>1200</v>
      </c>
      <c r="B61" s="1511">
        <f t="shared" si="69"/>
        <v>112.48648648648648</v>
      </c>
      <c r="C61" s="1511">
        <f t="shared" si="69"/>
        <v>115.21212121212122</v>
      </c>
      <c r="D61" s="1511">
        <f t="shared" si="35"/>
        <v>115.21212121212122</v>
      </c>
      <c r="E61" s="1511">
        <f t="shared" si="70"/>
        <v>110.4024024024024</v>
      </c>
      <c r="F61" s="1511">
        <f t="shared" si="70"/>
        <v>104</v>
      </c>
      <c r="G61" s="3300">
        <v>2004</v>
      </c>
      <c r="H61" s="1512">
        <v>1</v>
      </c>
      <c r="I61" s="1512">
        <v>0.33</v>
      </c>
      <c r="J61" s="1512">
        <v>0.5</v>
      </c>
      <c r="K61" s="1512">
        <v>0.5</v>
      </c>
      <c r="L61" s="1513">
        <v>0</v>
      </c>
      <c r="N61" s="1526">
        <f t="shared" si="67"/>
        <v>1.3391770148526898E-2</v>
      </c>
      <c r="O61" s="1527">
        <f t="shared" si="67"/>
        <v>1.063264221158958E-2</v>
      </c>
      <c r="P61" s="1527">
        <f t="shared" si="68"/>
        <v>2.2244466688911134E-2</v>
      </c>
      <c r="Q61" s="1527">
        <f t="shared" si="68"/>
        <v>0</v>
      </c>
      <c r="R61" s="1517"/>
      <c r="S61" s="1515">
        <f>B61/B62-1</f>
        <v>1.3391770148526883E-2</v>
      </c>
      <c r="T61" s="1516">
        <f>C61/C62-1</f>
        <v>1.063264221158966E-2</v>
      </c>
      <c r="U61" s="1516">
        <f>E61/E62-1</f>
        <v>2.2244466688911224E-2</v>
      </c>
      <c r="V61" s="1516">
        <f>F61/F62-1</f>
        <v>0</v>
      </c>
      <c r="X61" s="1528"/>
      <c r="Y61" s="1528"/>
      <c r="Z61" s="1528"/>
    </row>
    <row r="62" spans="1:26" ht="13.5" thickBot="1">
      <c r="A62" s="1458" t="s">
        <v>1201</v>
      </c>
      <c r="B62" s="1529">
        <v>111</v>
      </c>
      <c r="C62" s="1529">
        <v>114</v>
      </c>
      <c r="D62" s="1529">
        <f t="shared" si="35"/>
        <v>114</v>
      </c>
      <c r="E62" s="1529">
        <v>108</v>
      </c>
      <c r="F62" s="1530">
        <v>104</v>
      </c>
      <c r="G62" s="3298">
        <v>2003</v>
      </c>
      <c r="H62" s="1519">
        <v>4</v>
      </c>
      <c r="I62" s="1531"/>
      <c r="J62" s="1531"/>
      <c r="K62" s="1531"/>
      <c r="L62" s="1531"/>
      <c r="N62" s="1532"/>
      <c r="O62" s="1531"/>
      <c r="P62" s="1531"/>
      <c r="Q62" s="1531"/>
      <c r="S62" s="1532"/>
      <c r="T62" s="1531"/>
      <c r="U62" s="1531"/>
      <c r="V62" s="1531"/>
      <c r="X62" s="1523"/>
      <c r="Y62" s="1523"/>
      <c r="Z62" s="1523"/>
    </row>
    <row r="63" spans="1:26">
      <c r="A63" s="1458" t="s">
        <v>1202</v>
      </c>
      <c r="B63" s="1533">
        <f t="shared" ref="B63:C65" si="71">B64+(B$62-B$66)/4</f>
        <v>109.75</v>
      </c>
      <c r="C63" s="1533">
        <f t="shared" si="71"/>
        <v>112.25</v>
      </c>
      <c r="D63" s="1533">
        <f t="shared" si="35"/>
        <v>112.25</v>
      </c>
      <c r="E63" s="1533">
        <f t="shared" ref="E63:F65" si="72">E64+(E$62-E$66)/4</f>
        <v>107.25</v>
      </c>
      <c r="F63" s="1533">
        <f t="shared" si="72"/>
        <v>103.5</v>
      </c>
      <c r="G63" s="3299">
        <v>2003</v>
      </c>
      <c r="H63" s="1484">
        <v>3</v>
      </c>
      <c r="I63" s="1531"/>
      <c r="J63" s="1531"/>
      <c r="K63" s="1531"/>
      <c r="L63" s="1531"/>
      <c r="X63" s="1523"/>
      <c r="Y63" s="1523"/>
      <c r="Z63" s="1523"/>
    </row>
    <row r="64" spans="1:26">
      <c r="A64" s="1458" t="s">
        <v>1203</v>
      </c>
      <c r="B64" s="1533">
        <f t="shared" si="71"/>
        <v>108.5</v>
      </c>
      <c r="C64" s="1533">
        <f t="shared" si="71"/>
        <v>110.5</v>
      </c>
      <c r="D64" s="1533">
        <f t="shared" si="35"/>
        <v>110.5</v>
      </c>
      <c r="E64" s="1533">
        <f t="shared" si="72"/>
        <v>106.5</v>
      </c>
      <c r="F64" s="1533">
        <f t="shared" si="72"/>
        <v>103</v>
      </c>
      <c r="G64" s="3299">
        <v>2003</v>
      </c>
      <c r="H64" s="1462">
        <v>2</v>
      </c>
      <c r="I64" s="1531"/>
      <c r="J64" s="1531"/>
      <c r="K64" s="1531"/>
      <c r="L64" s="1531"/>
      <c r="X64" s="1523"/>
      <c r="Y64" s="1523"/>
      <c r="Z64" s="1523"/>
    </row>
    <row r="65" spans="1:26" ht="13.5" thickBot="1">
      <c r="A65" s="1458" t="s">
        <v>1204</v>
      </c>
      <c r="B65" s="1533">
        <f t="shared" si="71"/>
        <v>107.25</v>
      </c>
      <c r="C65" s="1533">
        <f t="shared" si="71"/>
        <v>108.75</v>
      </c>
      <c r="D65" s="1533">
        <f t="shared" si="35"/>
        <v>108.75</v>
      </c>
      <c r="E65" s="1533">
        <f t="shared" si="72"/>
        <v>105.75</v>
      </c>
      <c r="F65" s="1533">
        <f t="shared" si="72"/>
        <v>102.5</v>
      </c>
      <c r="G65" s="3300">
        <v>2003</v>
      </c>
      <c r="H65" s="1534">
        <v>1</v>
      </c>
      <c r="I65" s="1531"/>
      <c r="J65" s="1531"/>
      <c r="K65" s="1531"/>
      <c r="L65" s="1531"/>
      <c r="S65" s="1469"/>
      <c r="T65" s="1470"/>
      <c r="U65" s="1470"/>
      <c r="X65" s="1523"/>
      <c r="Y65" s="1523"/>
      <c r="Z65" s="1523"/>
    </row>
    <row r="66" spans="1:26" ht="13.5" thickBot="1">
      <c r="A66" s="1458" t="s">
        <v>1205</v>
      </c>
      <c r="B66" s="1535">
        <v>106</v>
      </c>
      <c r="C66" s="1535">
        <v>107</v>
      </c>
      <c r="D66" s="1535">
        <f t="shared" si="35"/>
        <v>107</v>
      </c>
      <c r="E66" s="1535">
        <v>105</v>
      </c>
      <c r="F66" s="1536">
        <v>102</v>
      </c>
      <c r="G66" s="3298">
        <v>2002</v>
      </c>
      <c r="H66" s="1479">
        <v>4</v>
      </c>
      <c r="I66" s="1531"/>
      <c r="J66" s="1531"/>
      <c r="K66" s="1531"/>
      <c r="L66" s="1531"/>
      <c r="N66" s="1532"/>
      <c r="O66" s="1531"/>
      <c r="P66" s="1531"/>
      <c r="Q66" s="1531"/>
      <c r="S66" s="1532"/>
      <c r="T66" s="1531"/>
      <c r="U66" s="1531"/>
      <c r="V66" s="1531"/>
      <c r="X66" s="1523"/>
      <c r="Y66" s="1523"/>
      <c r="Z66" s="1523"/>
    </row>
    <row r="67" spans="1:26">
      <c r="A67" s="1458" t="s">
        <v>1206</v>
      </c>
      <c r="B67" s="1533">
        <f t="shared" ref="B67:C69" si="73">B68+(B$66-B$70)/4</f>
        <v>105</v>
      </c>
      <c r="C67" s="1533">
        <f t="shared" si="73"/>
        <v>106</v>
      </c>
      <c r="D67" s="1533">
        <f t="shared" si="35"/>
        <v>106</v>
      </c>
      <c r="E67" s="1533">
        <f t="shared" ref="E67:F69" si="74">E68+(E$66-E$70)/4</f>
        <v>104.5</v>
      </c>
      <c r="F67" s="1533">
        <f t="shared" si="74"/>
        <v>101.5</v>
      </c>
      <c r="G67" s="3299">
        <v>2002</v>
      </c>
      <c r="H67" s="1484">
        <v>3</v>
      </c>
      <c r="I67" s="1531"/>
      <c r="J67" s="1531"/>
      <c r="K67" s="1531"/>
      <c r="L67" s="1531"/>
      <c r="X67" s="1523"/>
      <c r="Y67" s="1523"/>
      <c r="Z67" s="1523"/>
    </row>
    <row r="68" spans="1:26">
      <c r="A68" s="1458" t="s">
        <v>1207</v>
      </c>
      <c r="B68" s="1533">
        <f t="shared" si="73"/>
        <v>104</v>
      </c>
      <c r="C68" s="1533">
        <f t="shared" si="73"/>
        <v>105</v>
      </c>
      <c r="D68" s="1533">
        <f t="shared" si="35"/>
        <v>105</v>
      </c>
      <c r="E68" s="1533">
        <f t="shared" si="74"/>
        <v>104</v>
      </c>
      <c r="F68" s="1533">
        <f t="shared" si="74"/>
        <v>101</v>
      </c>
      <c r="G68" s="3299">
        <v>2002</v>
      </c>
      <c r="H68" s="1462">
        <v>2</v>
      </c>
      <c r="I68" s="1531"/>
      <c r="J68" s="1531"/>
      <c r="K68" s="1531"/>
      <c r="L68" s="1531"/>
      <c r="X68" s="1523"/>
      <c r="Y68" s="1523"/>
      <c r="Z68" s="1523"/>
    </row>
    <row r="69" spans="1:26" s="1495" customFormat="1" ht="13.5" thickBot="1">
      <c r="A69" s="1491" t="s">
        <v>1208</v>
      </c>
      <c r="B69" s="1537">
        <f t="shared" si="73"/>
        <v>103</v>
      </c>
      <c r="C69" s="1537">
        <f t="shared" si="73"/>
        <v>104</v>
      </c>
      <c r="D69" s="1537">
        <f t="shared" si="35"/>
        <v>104</v>
      </c>
      <c r="E69" s="1537">
        <f t="shared" si="74"/>
        <v>103.5</v>
      </c>
      <c r="F69" s="1537">
        <f t="shared" si="74"/>
        <v>100.5</v>
      </c>
      <c r="G69" s="3300">
        <v>2002</v>
      </c>
      <c r="H69" s="1538">
        <v>1</v>
      </c>
      <c r="I69" s="1539"/>
      <c r="J69" s="1539"/>
      <c r="K69" s="1539"/>
      <c r="L69" s="1539"/>
      <c r="N69" s="1540"/>
      <c r="S69" s="1540"/>
      <c r="X69" s="1541"/>
      <c r="Y69" s="1541"/>
      <c r="Z69" s="1541"/>
    </row>
    <row r="70" spans="1:26" ht="13.5" thickBot="1">
      <c r="B70" s="1542">
        <v>102</v>
      </c>
      <c r="C70" s="1543">
        <v>103</v>
      </c>
      <c r="D70" s="1543">
        <f t="shared" si="35"/>
        <v>103</v>
      </c>
      <c r="E70" s="1543">
        <v>103</v>
      </c>
      <c r="F70" s="1544">
        <v>100</v>
      </c>
      <c r="I70" s="1531"/>
      <c r="J70" s="1531"/>
      <c r="K70" s="1531"/>
      <c r="L70" s="1531"/>
      <c r="N70" s="1532"/>
      <c r="O70" s="1531"/>
      <c r="P70" s="1531"/>
      <c r="Q70" s="1531"/>
      <c r="S70" s="1532"/>
      <c r="T70" s="1531"/>
      <c r="U70" s="1531"/>
      <c r="V70" s="1531"/>
      <c r="X70" s="1473"/>
      <c r="Y70" s="1473"/>
      <c r="Z70" s="1473"/>
    </row>
    <row r="72" spans="1:26" s="1546" customFormat="1">
      <c r="A72" s="1545" t="s">
        <v>1209</v>
      </c>
      <c r="G72" s="1547"/>
      <c r="N72" s="1547"/>
      <c r="S72" s="1547"/>
    </row>
    <row r="73" spans="1:26" s="1546" customFormat="1">
      <c r="A73" s="1546" t="s">
        <v>1210</v>
      </c>
      <c r="G73" s="1547"/>
      <c r="N73" s="1547"/>
      <c r="S73" s="1547"/>
    </row>
    <row r="74" spans="1:26" s="1546" customFormat="1">
      <c r="A74" s="1546" t="s">
        <v>1211</v>
      </c>
      <c r="G74" s="1547"/>
      <c r="I74" s="1548"/>
      <c r="J74" s="1548"/>
      <c r="K74" s="1548"/>
      <c r="L74" s="1548"/>
      <c r="N74" s="1549"/>
      <c r="O74" s="1548"/>
      <c r="P74" s="1548"/>
      <c r="Q74" s="1548"/>
      <c r="S74" s="1549"/>
      <c r="T74" s="1548"/>
      <c r="U74" s="1548"/>
      <c r="V74" s="1548"/>
    </row>
    <row r="75" spans="1:26" s="1546" customFormat="1">
      <c r="A75" s="1546" t="s">
        <v>1212</v>
      </c>
      <c r="G75" s="1547"/>
      <c r="N75" s="1547"/>
      <c r="S75" s="1547"/>
    </row>
    <row r="82" spans="7:22" ht="13.5" thickBot="1"/>
    <row r="83" spans="7:22">
      <c r="G83" s="1468"/>
      <c r="S83" s="1550" t="s">
        <v>1213</v>
      </c>
      <c r="T83" s="1551" t="s">
        <v>1214</v>
      </c>
      <c r="U83" s="1551" t="s">
        <v>1215</v>
      </c>
      <c r="V83" s="1551" t="s">
        <v>1216</v>
      </c>
    </row>
    <row r="84" spans="7:22">
      <c r="G84" s="1468"/>
      <c r="N84" s="1472"/>
      <c r="O84" s="1473"/>
      <c r="P84" s="1473"/>
      <c r="Q84" s="1473"/>
      <c r="S84" s="1552">
        <v>2006</v>
      </c>
      <c r="T84" s="1553">
        <v>15.1</v>
      </c>
      <c r="U84" s="1553">
        <v>7.43</v>
      </c>
      <c r="V84" s="1553">
        <v>26.26</v>
      </c>
    </row>
    <row r="85" spans="7:22">
      <c r="G85" s="1468"/>
      <c r="N85" s="1472"/>
      <c r="O85" s="1473"/>
      <c r="P85" s="1473"/>
      <c r="Q85" s="1473"/>
      <c r="S85" s="1554">
        <v>2005</v>
      </c>
      <c r="T85" s="1555">
        <v>13.9</v>
      </c>
      <c r="U85" s="1555">
        <v>7.49</v>
      </c>
      <c r="V85" s="1555">
        <v>24.92</v>
      </c>
    </row>
    <row r="86" spans="7:22">
      <c r="G86" s="1468"/>
      <c r="N86" s="1472"/>
      <c r="O86" s="1473"/>
      <c r="P86" s="1473"/>
      <c r="Q86" s="1473"/>
      <c r="S86" s="1552">
        <v>2004</v>
      </c>
      <c r="T86" s="1553">
        <v>9.48</v>
      </c>
      <c r="U86" s="1553">
        <v>7.2</v>
      </c>
      <c r="V86" s="1553">
        <v>14.68</v>
      </c>
    </row>
    <row r="87" spans="7:22">
      <c r="G87" s="1468"/>
      <c r="N87" s="1472"/>
      <c r="O87" s="1473"/>
      <c r="P87" s="1473"/>
      <c r="Q87" s="1473"/>
      <c r="S87" s="1554">
        <v>2003</v>
      </c>
      <c r="T87" s="1555">
        <v>4.5</v>
      </c>
      <c r="U87" s="1555">
        <v>6.12</v>
      </c>
      <c r="V87" s="1555">
        <v>2.34</v>
      </c>
    </row>
    <row r="88" spans="7:22" ht="13.5" thickBot="1">
      <c r="G88" s="1468"/>
      <c r="N88" s="1472"/>
      <c r="O88" s="1473"/>
      <c r="P88" s="1473"/>
      <c r="Q88" s="1473"/>
      <c r="S88" s="1556">
        <v>2002</v>
      </c>
      <c r="T88" s="1557">
        <v>3.59</v>
      </c>
      <c r="U88" s="1557">
        <v>4.54</v>
      </c>
      <c r="V88" s="1557">
        <v>2.5499999999999998</v>
      </c>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2962</v>
      </c>
      <c r="C1" s="3307" t="s">
        <v>2963</v>
      </c>
      <c r="D1" s="3308"/>
      <c r="E1" s="3308"/>
      <c r="F1" s="3308"/>
      <c r="G1" s="3308"/>
      <c r="H1" s="3308"/>
      <c r="I1" s="3308"/>
      <c r="J1" s="3308"/>
      <c r="K1" s="3308"/>
      <c r="L1" s="3308"/>
      <c r="M1" s="3308"/>
      <c r="N1" s="3308"/>
      <c r="O1" s="3308"/>
      <c r="P1" s="3308"/>
      <c r="Q1" s="3308"/>
      <c r="R1" s="3308"/>
      <c r="S1" s="3309"/>
      <c r="T1" s="1201" t="s">
        <v>2964</v>
      </c>
    </row>
    <row r="2" spans="1:45" s="706" customFormat="1">
      <c r="A2" s="1202"/>
      <c r="B2" s="702" t="s">
        <v>2965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6" t="s">
        <v>2966</v>
      </c>
      <c r="C5" s="1213"/>
      <c r="D5" s="1214"/>
      <c r="E5" s="1214"/>
      <c r="F5" s="1708"/>
      <c r="G5" s="1708"/>
      <c r="H5" s="1708"/>
      <c r="I5" s="1708"/>
      <c r="J5" s="1708"/>
      <c r="K5" s="1708"/>
      <c r="L5" s="1709"/>
      <c r="M5" s="1710"/>
      <c r="N5" s="1710"/>
      <c r="O5" s="1708"/>
      <c r="P5" s="1708"/>
      <c r="Q5" s="1708"/>
      <c r="R5" s="1708"/>
      <c r="S5" s="1711"/>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7" t="s">
        <v>2967</v>
      </c>
      <c r="C7" s="1118"/>
      <c r="D7" s="1112"/>
      <c r="E7" s="1112"/>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7" t="s">
        <v>2968</v>
      </c>
      <c r="C9" s="1118"/>
      <c r="D9" s="1112"/>
      <c r="E9" s="1112"/>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6" t="s">
        <v>2969</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6" t="s">
        <v>2970</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6" t="s">
        <v>2971</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2972</v>
      </c>
      <c r="B17" s="2905" t="s">
        <v>2973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06" t="s">
        <v>2974</v>
      </c>
      <c r="E19" s="1789"/>
      <c r="F19" s="1789"/>
      <c r="G19" s="1789"/>
      <c r="H19" s="1277"/>
      <c r="I19" s="167"/>
      <c r="J19" s="167"/>
      <c r="K19" s="167"/>
      <c r="L19" s="167"/>
      <c r="M19" s="167"/>
      <c r="N19" s="167"/>
      <c r="O19" s="167"/>
      <c r="P19" s="167"/>
      <c r="Q19" s="167"/>
      <c r="R19" s="787"/>
      <c r="S19" s="137"/>
    </row>
    <row r="20" spans="1:45" ht="16.5" thickBot="1">
      <c r="A20" s="714" t="s">
        <v>2975</v>
      </c>
      <c r="B20" s="337" t="e">
        <f ca="1">IF(D20="——",S22,S22-F20)</f>
        <v>#REF!</v>
      </c>
      <c r="C20" s="167"/>
      <c r="D20" s="2907" t="s">
        <v>2976</v>
      </c>
      <c r="E20" s="1790"/>
      <c r="F20" s="1201" t="e">
        <f ca="1">SUMIF(INDIRECT("'"&amp;H20&amp;"'"&amp;"!A:A"),"承租人权益价值",INDIRECT("'"&amp;H20&amp;"'"&amp;"!c:c"))</f>
        <v>#REF!</v>
      </c>
      <c r="G20" s="1201" t="s">
        <v>2977</v>
      </c>
      <c r="H20" s="2908"/>
      <c r="I20" s="167"/>
      <c r="J20" s="167"/>
      <c r="K20" s="167"/>
      <c r="L20" s="167"/>
      <c r="M20" s="167"/>
      <c r="N20" s="167"/>
      <c r="O20" s="167"/>
      <c r="P20" s="167"/>
      <c r="Q20" s="167"/>
      <c r="R20" s="787"/>
      <c r="S20" s="137"/>
    </row>
    <row r="21" spans="1:45" ht="15.75">
      <c r="A21" s="714" t="s">
        <v>2978</v>
      </c>
      <c r="B21" s="337">
        <f>R22</f>
        <v>10000</v>
      </c>
      <c r="C21" s="167"/>
      <c r="D21" s="167"/>
      <c r="E21" s="167"/>
      <c r="F21" s="167"/>
      <c r="G21" s="167"/>
      <c r="H21" s="167"/>
      <c r="I21" s="167"/>
      <c r="J21" s="167"/>
      <c r="K21" s="167"/>
      <c r="L21" s="167"/>
      <c r="M21" s="167"/>
      <c r="N21" s="167"/>
      <c r="O21" s="167"/>
      <c r="P21" s="167"/>
      <c r="Q21" s="167"/>
      <c r="R21" s="787"/>
      <c r="S21" s="137"/>
    </row>
    <row r="22" spans="1:45">
      <c r="A22" s="360" t="s">
        <v>2979</v>
      </c>
      <c r="B22" s="24">
        <f>SUM(B24:B10000)</f>
        <v>100</v>
      </c>
      <c r="C22" s="3090" t="s">
        <v>33</v>
      </c>
      <c r="D22" s="3091"/>
      <c r="E22" s="3091"/>
      <c r="F22" s="3091"/>
      <c r="G22" s="3091"/>
      <c r="H22" s="3091"/>
      <c r="I22" s="3091"/>
      <c r="J22" s="3091"/>
      <c r="K22" s="3091"/>
      <c r="L22" s="3091"/>
      <c r="M22" s="3091"/>
      <c r="N22" s="3091"/>
      <c r="O22" s="3091"/>
      <c r="P22" s="3091"/>
      <c r="Q22" s="3306"/>
      <c r="R22" s="715">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6" t="s">
        <v>2983</v>
      </c>
      <c r="S23" s="11" t="s">
        <v>2984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8"/>
      <c r="B4" s="2993" t="s">
        <v>1629</v>
      </c>
      <c r="C4" s="2993"/>
      <c r="D4" s="2993"/>
      <c r="E4" s="1958"/>
    </row>
    <row r="5" spans="1:5" ht="16.5" thickTop="1">
      <c r="A5" s="1956"/>
      <c r="B5" s="2991" t="s">
        <v>1621</v>
      </c>
      <c r="C5" s="1959" t="s">
        <v>1622</v>
      </c>
      <c r="D5" s="1037">
        <f ca="1">结果表!H101</f>
        <v>455895</v>
      </c>
      <c r="E5" s="1956"/>
    </row>
    <row r="6" spans="1:5" ht="15.75">
      <c r="A6" s="1956"/>
      <c r="B6" s="2991"/>
      <c r="C6" s="1959" t="s">
        <v>1623</v>
      </c>
      <c r="D6" s="1037" t="str">
        <f ca="1">NUMBERSTRING(INT(D5*10000),2)&amp;"元整"</f>
        <v>肆拾伍亿伍仟捌佰玖拾伍万元整</v>
      </c>
      <c r="E6" s="1956"/>
    </row>
    <row r="7" spans="1:5" ht="15.75">
      <c r="A7" s="1956"/>
      <c r="B7" s="2996"/>
      <c r="C7" s="1960" t="s">
        <v>1624</v>
      </c>
      <c r="D7" s="1038">
        <f ca="1">结果表!H102</f>
        <v>37837</v>
      </c>
      <c r="E7" s="1956"/>
    </row>
    <row r="8" spans="1:5" ht="15.75">
      <c r="A8" s="1956"/>
      <c r="B8" s="2997" t="str">
        <f>结果表!E103</f>
        <v>2.估价师知悉的法定优先受偿款</v>
      </c>
      <c r="C8" s="1961" t="s">
        <v>1625</v>
      </c>
      <c r="D8" s="1038">
        <f>结果表!H103</f>
        <v>0</v>
      </c>
      <c r="E8" s="1956"/>
    </row>
    <row r="9" spans="1:5" ht="15.75">
      <c r="A9" s="1956"/>
      <c r="B9" s="2999"/>
      <c r="C9" s="1959" t="s">
        <v>1623</v>
      </c>
      <c r="D9" s="1037" t="str">
        <f>NUMBERSTRING(INT(D8*10000),2)&amp;"元整"</f>
        <v>零元整</v>
      </c>
      <c r="E9" s="1956"/>
    </row>
    <row r="10" spans="1:5" ht="15">
      <c r="A10" s="1956"/>
      <c r="B10" s="1962" t="s">
        <v>1628</v>
      </c>
      <c r="C10" s="1963" t="s">
        <v>1626</v>
      </c>
      <c r="D10" s="1039">
        <f>结果表!H104</f>
        <v>0</v>
      </c>
      <c r="E10" s="1956"/>
    </row>
    <row r="11" spans="1:5" ht="15">
      <c r="A11" s="1956"/>
      <c r="B11" s="1962" t="s">
        <v>1630</v>
      </c>
      <c r="C11" s="1963" t="s">
        <v>1631</v>
      </c>
      <c r="D11" s="1039">
        <f>结果表!H105</f>
        <v>0</v>
      </c>
      <c r="E11" s="1956"/>
    </row>
    <row r="12" spans="1:5" ht="15">
      <c r="A12" s="1956"/>
      <c r="B12" s="1962" t="s">
        <v>1632</v>
      </c>
      <c r="C12" s="1963" t="s">
        <v>1631</v>
      </c>
      <c r="D12" s="1039">
        <f>结果表!H106</f>
        <v>0</v>
      </c>
      <c r="E12" s="1956"/>
    </row>
    <row r="13" spans="1:5" ht="15.75">
      <c r="A13" s="1956"/>
      <c r="B13" s="2990" t="str">
        <f>结果表!E107</f>
        <v>——</v>
      </c>
      <c r="C13" s="1964" t="s">
        <v>1622</v>
      </c>
      <c r="D13" s="1040" t="str">
        <f>结果表!H107</f>
        <v>——</v>
      </c>
      <c r="E13" s="1956"/>
    </row>
    <row r="14" spans="1:5" ht="15.75">
      <c r="A14" s="1956"/>
      <c r="B14" s="2991"/>
      <c r="C14" s="1959" t="s">
        <v>1623</v>
      </c>
      <c r="D14" s="1037" t="e">
        <f>NUMBERSTRING(INT(D13*10000),2)&amp;"元整"</f>
        <v>#VALUE!</v>
      </c>
      <c r="E14" s="1956"/>
    </row>
    <row r="15" spans="1:5" ht="15">
      <c r="A15" s="1956"/>
      <c r="B15" s="2996"/>
      <c r="C15" s="1960" t="s">
        <v>1633</v>
      </c>
      <c r="D15" s="1049" t="e">
        <f>结果表!H108</f>
        <v>#VALUE!</v>
      </c>
      <c r="E15" s="1956"/>
    </row>
    <row r="16" spans="1:5" ht="15">
      <c r="A16" s="1956"/>
      <c r="B16" s="2997" t="str">
        <f>结果表!E109</f>
        <v>3.抵押担保权已注销时的房地产抵押价值</v>
      </c>
      <c r="C16" s="1964" t="s">
        <v>1634</v>
      </c>
      <c r="D16" s="1965">
        <f ca="1">结果表!H109</f>
        <v>455895</v>
      </c>
      <c r="E16" s="1956"/>
    </row>
    <row r="17" spans="1:5" ht="15.75">
      <c r="A17" s="1956"/>
      <c r="B17" s="2998"/>
      <c r="C17" s="1959" t="s">
        <v>1635</v>
      </c>
      <c r="D17" s="1037" t="str">
        <f ca="1">NUMBERSTRING(INT(D16*10000),2)&amp;"元整"</f>
        <v>肆拾伍亿伍仟捌佰玖拾伍万元整</v>
      </c>
      <c r="E17" s="1956"/>
    </row>
    <row r="18" spans="1:5" ht="15">
      <c r="A18" s="1956"/>
      <c r="B18" s="2999"/>
      <c r="C18" s="1960" t="s">
        <v>1624</v>
      </c>
      <c r="D18" s="1049">
        <f ca="1">结果表!H110</f>
        <v>37837</v>
      </c>
      <c r="E18" s="1956"/>
    </row>
    <row r="19" spans="1:5" ht="15.75">
      <c r="A19" s="1956"/>
      <c r="B19" s="2990" t="str">
        <f>结果表!E111</f>
        <v>——</v>
      </c>
      <c r="C19" s="1964" t="s">
        <v>1622</v>
      </c>
      <c r="D19" s="1038" t="str">
        <f>结果表!H111</f>
        <v>——</v>
      </c>
      <c r="E19" s="1956"/>
    </row>
    <row r="20" spans="1:5" ht="15.75">
      <c r="A20" s="1956"/>
      <c r="B20" s="2991"/>
      <c r="C20" s="1959" t="s">
        <v>1635</v>
      </c>
      <c r="D20" s="1037" t="e">
        <f>NUMBERSTRING(INT(D19*10000),2)&amp;"元整"</f>
        <v>#VALUE!</v>
      </c>
      <c r="E20" s="1956"/>
    </row>
    <row r="21" spans="1:5" ht="15.75" thickBot="1">
      <c r="A21" s="1956"/>
      <c r="B21" s="2992"/>
      <c r="C21" s="1966" t="s">
        <v>1633</v>
      </c>
      <c r="D21" s="1050"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101812</v>
      </c>
      <c r="C2" s="2" t="s">
        <v>133</v>
      </c>
      <c r="D2" s="242"/>
      <c r="E2" s="242"/>
      <c r="F2" s="242"/>
      <c r="G2" s="242"/>
    </row>
    <row r="3" spans="1:7" s="243" customFormat="1" ht="18" customHeight="1" thickBot="1">
      <c r="A3" s="246" t="s">
        <v>85</v>
      </c>
      <c r="B3" s="247">
        <f ca="1">ROUND(B2*10000/'数据-汇总表'!E3,0)</f>
        <v>8450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1146</v>
      </c>
    </row>
    <row r="9" spans="1:7" s="257" customFormat="1" ht="13.5" customHeight="1">
      <c r="A9" s="947" t="s">
        <v>800</v>
      </c>
      <c r="B9" s="267" t="s">
        <v>93</v>
      </c>
      <c r="C9" s="268">
        <f>ROUND(D9*E9/10000,0)</f>
        <v>0</v>
      </c>
      <c r="D9" s="1029">
        <f>'数据-汇总表'!E5</f>
        <v>0</v>
      </c>
      <c r="E9" s="268">
        <f>'数据-取费表'!B27</f>
        <v>160</v>
      </c>
      <c r="F9" s="264"/>
      <c r="G9" s="269"/>
    </row>
    <row r="10" spans="1:7" s="257" customFormat="1" ht="13.5" customHeight="1">
      <c r="A10" s="947" t="s">
        <v>801</v>
      </c>
      <c r="B10" s="267" t="s">
        <v>94</v>
      </c>
      <c r="C10" s="268">
        <f>ROUND(D10*E10/10000,0)</f>
        <v>2410</v>
      </c>
      <c r="D10" s="1029">
        <f>'数据-汇总表'!E6</f>
        <v>120487.72</v>
      </c>
      <c r="E10" s="268">
        <f>'数据-取费表'!B28</f>
        <v>200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2410</v>
      </c>
      <c r="D19" s="1033">
        <f>'数据-汇总表'!E3</f>
        <v>120487.72</v>
      </c>
      <c r="E19" s="254">
        <f>'数据-取费表'!B31</f>
        <v>200</v>
      </c>
      <c r="F19" s="274"/>
      <c r="G19" s="1" t="s">
        <v>1074</v>
      </c>
    </row>
    <row r="20" spans="1:7" s="257" customFormat="1" ht="13.5" customHeight="1">
      <c r="A20" s="945" t="s">
        <v>1057</v>
      </c>
      <c r="B20" s="253" t="s">
        <v>104</v>
      </c>
      <c r="C20" s="275">
        <f>ROUND((C5+C19)*F20,0)</f>
        <v>691</v>
      </c>
      <c r="D20" s="275"/>
      <c r="E20" s="275"/>
      <c r="F20" s="276">
        <f>'数据-取费表'!B37</f>
        <v>0.03</v>
      </c>
      <c r="G20" s="1286" t="s">
        <v>1068</v>
      </c>
    </row>
    <row r="21" spans="1:7" s="257" customFormat="1" ht="13.5" customHeight="1">
      <c r="A21" s="945" t="s">
        <v>1059</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2271</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1061</v>
      </c>
      <c r="C23" s="1352">
        <f ca="1">ROUND(IF('数据-取费表'!B22&lt;=1,C5*F22*'数据-取费表'!B23,C5*(POWER((1+F22),'数据-取费表'!B23)-1)),0)</f>
        <v>2004</v>
      </c>
      <c r="D23" s="281"/>
      <c r="E23" s="281"/>
      <c r="F23" s="282"/>
      <c r="G23" s="283" t="s">
        <v>108</v>
      </c>
    </row>
    <row r="24" spans="1:7" s="257" customFormat="1" ht="13.5" customHeight="1">
      <c r="A24" s="948" t="s">
        <v>792</v>
      </c>
      <c r="B24" s="258" t="s">
        <v>1056</v>
      </c>
      <c r="C24" s="1352">
        <f ca="1">ROUND(IF('数据-取费表'!B22&lt;=1,C19*F22*('数据-取费表'!B19/2+'数据-取费表'!B21),C19*(POWER((1+F22),('数据-取费表'!B19/2+'数据-取费表'!B21))-1)),0)</f>
        <v>234</v>
      </c>
      <c r="D24" s="281"/>
      <c r="E24" s="281"/>
      <c r="F24" s="282"/>
      <c r="G24" s="283" t="s">
        <v>109</v>
      </c>
    </row>
    <row r="25" spans="1:7" s="257" customFormat="1" ht="24">
      <c r="A25" s="948" t="s">
        <v>793</v>
      </c>
      <c r="B25" s="258" t="s">
        <v>1058</v>
      </c>
      <c r="C25" s="1352">
        <f ca="1">ROUND(IF('数据-取费表'!B22&lt;=1,C20*F22*'数据-取费表'!B23/2,C20*(POWER((1+F22),'数据-取费表'!B23/2)-1)),0)</f>
        <v>33</v>
      </c>
      <c r="D25" s="281"/>
      <c r="E25" s="284"/>
      <c r="F25" s="282"/>
      <c r="G25" s="285" t="s">
        <v>110</v>
      </c>
    </row>
    <row r="26" spans="1:7" s="257" customFormat="1">
      <c r="A26" s="948" t="s">
        <v>795</v>
      </c>
      <c r="B26" s="258" t="s">
        <v>1060</v>
      </c>
      <c r="C26" s="281">
        <f ca="1">ROUND(IF('数据-取费表'!B22&lt;=1,F21*F22*'数据-取费表'!B23/2,F21*(POWER((1+F22),'数据-取费表'!B23/2)-1)),4)</f>
        <v>1.4E-3</v>
      </c>
      <c r="D26" s="281"/>
      <c r="E26" s="284"/>
      <c r="F26" s="282"/>
      <c r="G26" s="286"/>
    </row>
    <row r="27" spans="1:7" s="257" customFormat="1" ht="24.75">
      <c r="A27" s="945" t="s">
        <v>787</v>
      </c>
      <c r="B27" s="287" t="s">
        <v>112</v>
      </c>
      <c r="C27" s="288">
        <f>C28</f>
        <v>5454</v>
      </c>
      <c r="D27" s="278">
        <f>C29</f>
        <v>6.8999999999999999E-3</v>
      </c>
      <c r="E27" s="279" t="s">
        <v>126</v>
      </c>
      <c r="F27" s="289">
        <f>'数据-取费表'!Q16</f>
        <v>0.23</v>
      </c>
      <c r="G27" s="290" t="s">
        <v>1069</v>
      </c>
    </row>
    <row r="28" spans="1:7" s="257" customFormat="1" ht="13.5" customHeight="1">
      <c r="A28" s="948" t="s">
        <v>794</v>
      </c>
      <c r="B28" s="291" t="s">
        <v>1062</v>
      </c>
      <c r="C28" s="292">
        <f>ROUND((C5+C19+C20)*F27*'数据-取费表'!B21/'数据-取费表'!B20,0)</f>
        <v>5454</v>
      </c>
      <c r="D28" s="278"/>
      <c r="E28" s="279"/>
      <c r="F28" s="289"/>
      <c r="G28" s="290"/>
    </row>
    <row r="29" spans="1:7" s="257" customFormat="1" ht="13.5" customHeight="1">
      <c r="A29" s="948" t="s">
        <v>792</v>
      </c>
      <c r="B29" s="291" t="s">
        <v>1063</v>
      </c>
      <c r="C29" s="281">
        <f>ROUND(C21*F27*'数据-取费表'!B21/'数据-取费表'!B20,4)</f>
        <v>6.8999999999999999E-3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34607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55896</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51183</v>
      </c>
      <c r="D34" s="260"/>
      <c r="E34" s="263"/>
      <c r="F34" s="300">
        <f>IF('数据-取费表'!B24=0,1,'数据-取费表'!N16)</f>
        <v>1</v>
      </c>
      <c r="G34" s="262" t="s">
        <v>116</v>
      </c>
    </row>
    <row r="35" spans="1:7" ht="13.5" customHeight="1">
      <c r="A35" s="948" t="s">
        <v>796</v>
      </c>
      <c r="B35" s="258" t="s">
        <v>60</v>
      </c>
      <c r="C35" s="263">
        <f>ROUND(C34*F35,0)</f>
        <v>1535</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2410</v>
      </c>
      <c r="D37" s="260">
        <f>'数据-汇总表'!E3</f>
        <v>120487.72</v>
      </c>
      <c r="E37" s="292">
        <f>'数据-取费表'!B35</f>
        <v>200</v>
      </c>
      <c r="F37" s="302"/>
      <c r="G37" s="304" t="s">
        <v>119</v>
      </c>
    </row>
    <row r="38" spans="1:7" ht="13.5" customHeight="1">
      <c r="A38" s="948" t="s">
        <v>799</v>
      </c>
      <c r="B38" s="258" t="s">
        <v>63</v>
      </c>
      <c r="C38" s="263">
        <f>ROUND(C34*F38,0)</f>
        <v>768</v>
      </c>
      <c r="D38" s="263"/>
      <c r="E38" s="263"/>
      <c r="F38" s="302">
        <f>'数据-取费表'!B36</f>
        <v>1.4999999999999999E-2</v>
      </c>
      <c r="G38" s="262" t="s">
        <v>117</v>
      </c>
    </row>
    <row r="39" spans="1:7" s="257" customFormat="1" ht="13.5" customHeight="1">
      <c r="A39" s="945" t="s">
        <v>783</v>
      </c>
      <c r="B39" s="253" t="s">
        <v>104</v>
      </c>
      <c r="C39" s="275">
        <f>ROUND(C33*F20,0)</f>
        <v>1677</v>
      </c>
      <c r="D39" s="275"/>
      <c r="E39" s="275"/>
      <c r="F39" s="276"/>
      <c r="G39" s="1286" t="s">
        <v>1071</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2735</v>
      </c>
      <c r="D41" s="278">
        <f ca="1">C44</f>
        <v>1.4E-3</v>
      </c>
      <c r="E41" s="279" t="s">
        <v>129</v>
      </c>
      <c r="F41" s="280"/>
      <c r="G41" s="1286" t="str">
        <f>IF('数据-取费表'!B22&lt;=1,"单利计息","复利计息")</f>
        <v>复利计息</v>
      </c>
    </row>
    <row r="42" spans="1:7" ht="13.5" customHeight="1">
      <c r="A42" s="948" t="s">
        <v>794</v>
      </c>
      <c r="B42" s="258" t="s">
        <v>1061</v>
      </c>
      <c r="C42" s="281">
        <f ca="1">ROUND(IF('数据-取费表'!B22&lt;=1,C33*F22*'数据-取费表'!B21/2,C33*(POWER((1+F22),'数据-取费表'!B21/2)-1)),0)</f>
        <v>2655</v>
      </c>
      <c r="D42" s="281"/>
      <c r="E42" s="281"/>
      <c r="F42" s="282"/>
      <c r="G42" s="3195" t="s">
        <v>121</v>
      </c>
    </row>
    <row r="43" spans="1:7" ht="13.5" customHeight="1">
      <c r="A43" s="948" t="s">
        <v>792</v>
      </c>
      <c r="B43" s="258" t="s">
        <v>1064</v>
      </c>
      <c r="C43" s="281">
        <f ca="1">ROUND(IF('数据-取费表'!B22&lt;=1,C39*F22*'数据-取费表'!B21/2,C39*(POWER((1+F22),'数据-取费表'!B21/2)-1)),0)</f>
        <v>80</v>
      </c>
      <c r="D43" s="281"/>
      <c r="E43" s="281"/>
      <c r="F43" s="282"/>
      <c r="G43" s="3196"/>
    </row>
    <row r="44" spans="1:7" ht="13.5" customHeight="1">
      <c r="A44" s="948" t="s">
        <v>793</v>
      </c>
      <c r="B44" s="258" t="s">
        <v>1066</v>
      </c>
      <c r="C44" s="281">
        <f ca="1">ROUND(IF('数据-取费表'!B22&lt;=1,C40*F22*'数据-取费表'!B21/2,C40*(POWER((1+F22),'数据-取费表'!B21/2)-1)),4)</f>
        <v>1.4E-3</v>
      </c>
      <c r="D44" s="281"/>
      <c r="E44" s="281"/>
      <c r="F44" s="282"/>
      <c r="G44" s="3197"/>
    </row>
    <row r="45" spans="1:7" s="257" customFormat="1" ht="13.5" customHeight="1">
      <c r="A45" s="945" t="s">
        <v>786</v>
      </c>
      <c r="B45" s="287" t="s">
        <v>112</v>
      </c>
      <c r="C45" s="288">
        <f>C46</f>
        <v>13242</v>
      </c>
      <c r="D45" s="278">
        <f>C47</f>
        <v>6.8999999999999999E-3</v>
      </c>
      <c r="E45" s="279" t="s">
        <v>129</v>
      </c>
      <c r="F45" s="289"/>
      <c r="G45" s="290" t="s">
        <v>1072</v>
      </c>
    </row>
    <row r="46" spans="1:7" s="257" customFormat="1" ht="13.5" customHeight="1">
      <c r="A46" s="948" t="s">
        <v>794</v>
      </c>
      <c r="B46" s="291" t="s">
        <v>1065</v>
      </c>
      <c r="C46" s="292">
        <f>ROUND((C33+C39)*F27,0)</f>
        <v>13242</v>
      </c>
      <c r="D46" s="306"/>
      <c r="E46" s="279"/>
      <c r="F46" s="289"/>
      <c r="G46" s="290"/>
    </row>
    <row r="47" spans="1:7" s="257" customFormat="1" ht="13.5" customHeight="1">
      <c r="A47" s="948" t="s">
        <v>792</v>
      </c>
      <c r="B47" s="291" t="s">
        <v>1067</v>
      </c>
      <c r="C47" s="281">
        <f>ROUND(C40*F27,4)</f>
        <v>6.8999999999999999E-3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80970</v>
      </c>
      <c r="D49" s="275"/>
      <c r="E49" s="275"/>
      <c r="F49" s="307"/>
      <c r="G49" s="277" t="s">
        <v>1073</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67205</v>
      </c>
      <c r="D51" s="275"/>
      <c r="E51" s="275"/>
      <c r="F51" s="307"/>
      <c r="G51" s="277" t="s">
        <v>64</v>
      </c>
    </row>
    <row r="52" spans="1:7" s="251" customFormat="1" ht="16.5" thickBot="1">
      <c r="A52" s="308" t="s">
        <v>65</v>
      </c>
      <c r="B52" s="309"/>
      <c r="C52" s="310">
        <f ca="1">C31+C51</f>
        <v>101812</v>
      </c>
      <c r="D52" s="309"/>
      <c r="E52" s="309"/>
      <c r="F52" s="309"/>
      <c r="G52" s="311"/>
    </row>
    <row r="55" spans="1:7" ht="15">
      <c r="B55" s="313" t="s">
        <v>66</v>
      </c>
      <c r="C55" s="314"/>
    </row>
    <row r="56" spans="1:7">
      <c r="B56" s="316" t="s">
        <v>67</v>
      </c>
      <c r="C56" s="317">
        <f ca="1">ROUND(C51/C52,3)</f>
        <v>0.66</v>
      </c>
    </row>
    <row r="57" spans="1:7">
      <c r="B57" s="316" t="s">
        <v>68</v>
      </c>
      <c r="C57" s="318">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0" t="s">
        <v>871</v>
      </c>
      <c r="B1" s="331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1298</v>
      </c>
      <c r="C1" s="1691">
        <f>项目基本情况!D3</f>
        <v>43164</v>
      </c>
      <c r="D1" s="1697" t="s">
        <v>1299</v>
      </c>
      <c r="E1" s="1692">
        <f>'数据-取费表'!B22</f>
        <v>2</v>
      </c>
      <c r="F1" s="1697" t="s">
        <v>1300</v>
      </c>
      <c r="G1" s="1693">
        <f ca="1">INDIRECT("d"&amp;$K$1)/100</f>
        <v>4.7500000000000001E-2</v>
      </c>
      <c r="H1" s="1697" t="s">
        <v>1330</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1301</v>
      </c>
      <c r="E2" s="1633"/>
      <c r="F2" s="1633" t="s">
        <v>1302</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1303</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1304</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1305</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1306</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1307</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1308</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1309</v>
      </c>
      <c r="C10" s="1661"/>
      <c r="D10" s="1661"/>
      <c r="E10" s="1661"/>
      <c r="F10" s="1661"/>
      <c r="G10" s="1661"/>
      <c r="H10" s="1661"/>
      <c r="I10" s="1635"/>
      <c r="J10" s="1635"/>
      <c r="K10" s="1661"/>
      <c r="L10" s="1662" t="s">
        <v>1310</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1311</v>
      </c>
      <c r="C11" s="1666" t="s">
        <v>1312</v>
      </c>
      <c r="D11" s="1667" t="s">
        <v>1313</v>
      </c>
      <c r="E11" s="1668"/>
      <c r="F11" s="1667" t="s">
        <v>1314</v>
      </c>
      <c r="G11" s="1669"/>
      <c r="H11" s="1668"/>
      <c r="I11" s="1667" t="s">
        <v>1315</v>
      </c>
      <c r="J11" s="1668"/>
      <c r="K11" s="1664"/>
      <c r="L11" s="1665" t="s">
        <v>1311</v>
      </c>
      <c r="M11" s="1666" t="s">
        <v>1312</v>
      </c>
      <c r="N11" s="1665" t="s">
        <v>1316</v>
      </c>
      <c r="O11" s="1667" t="s">
        <v>1317</v>
      </c>
      <c r="P11" s="1669"/>
      <c r="Q11" s="1669"/>
      <c r="R11" s="1669"/>
      <c r="S11" s="1669"/>
      <c r="T11" s="1668"/>
      <c r="U11" s="1667" t="s">
        <v>1318</v>
      </c>
      <c r="V11" s="1669"/>
      <c r="W11" s="1668"/>
      <c r="X11" s="1665" t="s">
        <v>1319</v>
      </c>
      <c r="Y11" s="1665" t="s">
        <v>1320</v>
      </c>
      <c r="Z11" s="1665" t="s">
        <v>1321</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1322</v>
      </c>
      <c r="E12" s="1674" t="s">
        <v>1323</v>
      </c>
      <c r="F12" s="1674" t="s">
        <v>1324</v>
      </c>
      <c r="G12" s="1674" t="s">
        <v>1325</v>
      </c>
      <c r="H12" s="1674" t="s">
        <v>1307</v>
      </c>
      <c r="I12" s="1675" t="s">
        <v>1326</v>
      </c>
      <c r="J12" s="1675" t="s">
        <v>1326</v>
      </c>
      <c r="K12" s="1671"/>
      <c r="L12" s="1672"/>
      <c r="M12" s="1673"/>
      <c r="N12" s="1672"/>
      <c r="O12" s="1675" t="s">
        <v>1327</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1328</v>
      </c>
      <c r="C13" s="1679">
        <v>42301</v>
      </c>
      <c r="D13" s="1680">
        <v>4.3499999999999996</v>
      </c>
      <c r="E13" s="1680">
        <v>4.3499999999999996</v>
      </c>
      <c r="F13" s="1680">
        <v>4.75</v>
      </c>
      <c r="G13" s="1680">
        <v>4.75</v>
      </c>
      <c r="H13" s="1680">
        <v>4.9000000000000004</v>
      </c>
      <c r="I13" s="1680">
        <v>2.75</v>
      </c>
      <c r="J13" s="1680">
        <v>3.25</v>
      </c>
      <c r="K13" s="1677"/>
      <c r="L13" s="1678" t="s">
        <v>1328</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1329</v>
      </c>
      <c r="Y42" s="1684" t="s">
        <v>1329</v>
      </c>
      <c r="Z42" s="1684" t="s">
        <v>1329</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1329</v>
      </c>
      <c r="Y43" s="1684" t="s">
        <v>1329</v>
      </c>
      <c r="Z43" s="1684" t="s">
        <v>1329</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1329</v>
      </c>
      <c r="Y44" s="1684" t="s">
        <v>1329</v>
      </c>
      <c r="Z44" s="1684" t="s">
        <v>1329</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1329</v>
      </c>
      <c r="Y45" s="1684" t="s">
        <v>1329</v>
      </c>
      <c r="Z45" s="1684" t="s">
        <v>1329</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1329</v>
      </c>
      <c r="Y46" s="1684" t="s">
        <v>1329</v>
      </c>
      <c r="Z46" s="1684" t="s">
        <v>1329</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1329</v>
      </c>
      <c r="Y47" s="1684" t="s">
        <v>1329</v>
      </c>
      <c r="Z47" s="1684" t="s">
        <v>1329</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1329</v>
      </c>
      <c r="Y48" s="1684" t="s">
        <v>1329</v>
      </c>
      <c r="Z48" s="1684" t="s">
        <v>1329</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1329</v>
      </c>
      <c r="Y49" s="1684" t="s">
        <v>1329</v>
      </c>
      <c r="Z49" s="1684" t="s">
        <v>1329</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1329</v>
      </c>
      <c r="Y50" s="1684" t="s">
        <v>1329</v>
      </c>
      <c r="Z50" s="1684" t="s">
        <v>1329</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1329</v>
      </c>
      <c r="V51" s="1684" t="s">
        <v>1329</v>
      </c>
      <c r="W51" s="1684" t="s">
        <v>1329</v>
      </c>
      <c r="X51" s="1684" t="s">
        <v>1329</v>
      </c>
      <c r="Y51" s="1684" t="s">
        <v>1329</v>
      </c>
      <c r="Z51" s="1684" t="s">
        <v>1329</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1329</v>
      </c>
      <c r="J55" s="1684" t="s">
        <v>1329</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1370</v>
      </c>
      <c r="E1" s="1773" t="s">
        <v>1374</v>
      </c>
      <c r="F1" s="1774" t="s">
        <v>1378</v>
      </c>
    </row>
    <row r="2" spans="1:13" ht="20.25">
      <c r="A2" s="1780" t="s">
        <v>1371</v>
      </c>
    </row>
    <row r="3" spans="1:13" ht="16.5">
      <c r="A3" s="1781" t="s">
        <v>1372</v>
      </c>
    </row>
    <row r="4" spans="1:13" ht="14.25">
      <c r="A4" s="1771" t="s">
        <v>1373</v>
      </c>
      <c r="B4" s="1776" t="s">
        <v>1375</v>
      </c>
      <c r="C4" s="1777"/>
      <c r="D4" s="1778"/>
      <c r="E4" s="1776" t="s">
        <v>27</v>
      </c>
      <c r="F4" s="1777"/>
      <c r="G4" s="1778"/>
      <c r="H4" s="1776" t="s">
        <v>1376</v>
      </c>
      <c r="I4" s="1777"/>
      <c r="J4" s="1778"/>
      <c r="K4" s="1776" t="s">
        <v>6</v>
      </c>
      <c r="L4" s="1777"/>
      <c r="M4" s="1778"/>
    </row>
    <row r="5" spans="1:13" ht="14.25">
      <c r="A5" s="1772" t="s">
        <v>1377</v>
      </c>
      <c r="B5" s="1771" t="s">
        <v>1379</v>
      </c>
      <c r="C5" s="1771" t="s">
        <v>1380</v>
      </c>
      <c r="D5" s="1771" t="s">
        <v>1381</v>
      </c>
      <c r="E5" s="1771" t="s">
        <v>1379</v>
      </c>
      <c r="F5" s="1771" t="s">
        <v>1380</v>
      </c>
      <c r="G5" s="1771" t="s">
        <v>1381</v>
      </c>
      <c r="H5" s="1771" t="s">
        <v>1379</v>
      </c>
      <c r="I5" s="1771" t="s">
        <v>1380</v>
      </c>
      <c r="J5" s="1771" t="s">
        <v>1381</v>
      </c>
      <c r="K5" s="1771" t="s">
        <v>1379</v>
      </c>
      <c r="L5" s="1771" t="s">
        <v>1380</v>
      </c>
      <c r="M5" s="1771" t="s">
        <v>1381</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2" sqref="J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3129</v>
      </c>
      <c r="D1" s="1817" t="s">
        <v>70</v>
      </c>
      <c r="E1" s="1818" t="s">
        <v>1385</v>
      </c>
      <c r="F1" s="1280">
        <f ca="1">J53</f>
        <v>29.31</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374762</v>
      </c>
      <c r="C2" s="1842" t="s">
        <v>1515</v>
      </c>
      <c r="D2" s="1842"/>
      <c r="E2" s="1843"/>
      <c r="F2" s="1844"/>
      <c r="G2" s="1845"/>
      <c r="H2" s="1837"/>
      <c r="I2" s="1837"/>
      <c r="J2" s="1837"/>
      <c r="K2" s="1838"/>
      <c r="L2" s="1837"/>
      <c r="M2" s="1837"/>
    </row>
    <row r="3" spans="1:37" ht="18" customHeight="1" thickBot="1">
      <c r="A3" s="1846" t="s">
        <v>1516</v>
      </c>
      <c r="B3" s="1847">
        <f ca="1">IF(ISERROR(B2*10000/F43),0,ROUND(B2*10000/F43,0))</f>
        <v>55740</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21675</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21645</v>
      </c>
      <c r="D6" s="163" t="s">
        <v>2991</v>
      </c>
      <c r="E6" s="346" t="s">
        <v>1403</v>
      </c>
      <c r="F6" s="347">
        <f ca="1">INDIRECT("'数据-取费表'!u"&amp;$G$1)</f>
        <v>9.8000000000000007</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67234.069999999992</v>
      </c>
      <c r="G7" s="1848"/>
      <c r="H7" s="348"/>
      <c r="I7" s="3202"/>
      <c r="J7" s="350"/>
      <c r="K7" s="351"/>
      <c r="L7" s="346" t="s">
        <v>1404</v>
      </c>
      <c r="M7" s="347">
        <f ca="1">F7</f>
        <v>67234.069999999992</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30</v>
      </c>
      <c r="D10" s="1821" t="s">
        <v>2987</v>
      </c>
      <c r="E10" s="357" t="s">
        <v>1409</v>
      </c>
      <c r="F10" s="1363" t="s">
        <v>3037</v>
      </c>
      <c r="G10" s="1848"/>
      <c r="H10" s="1288" t="s">
        <v>1039</v>
      </c>
      <c r="I10" s="1820" t="s">
        <v>1407</v>
      </c>
      <c r="J10" s="345">
        <f ca="1">ROUND(IF(M10="押一",M6*M8*M7/12*M11,IF(M10="押二",M6*M8*M7/12*2*M11,IF(M10="押三",M6*M8*M7/12*3*M11,J11*M11)))/10000,0)</f>
        <v>0</v>
      </c>
      <c r="K10" s="1821" t="s">
        <v>2987</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40987</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30779</v>
      </c>
      <c r="D14" s="2933" t="s">
        <v>1417</v>
      </c>
      <c r="E14" s="2931"/>
      <c r="F14" s="363"/>
      <c r="G14" s="1848"/>
      <c r="H14" s="1198" t="s">
        <v>1035</v>
      </c>
      <c r="I14" s="346" t="s">
        <v>1418</v>
      </c>
      <c r="J14" s="24">
        <f ca="1">C29</f>
        <v>49382</v>
      </c>
      <c r="K14" s="2938"/>
      <c r="L14" s="976"/>
      <c r="M14" s="977"/>
    </row>
    <row r="15" spans="1:37" s="1855" customFormat="1" ht="18" customHeight="1" thickBot="1">
      <c r="A15" s="1198" t="s">
        <v>1036</v>
      </c>
      <c r="B15" s="346" t="s">
        <v>1419</v>
      </c>
      <c r="C15" s="24">
        <f ca="1">ROUND(C14*F15,0)</f>
        <v>923</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1003</v>
      </c>
      <c r="K16" s="1334" t="s">
        <v>1424</v>
      </c>
      <c r="L16" s="2934"/>
      <c r="M16" s="1291"/>
    </row>
    <row r="17" spans="1:37" s="1855" customFormat="1" ht="18" customHeight="1">
      <c r="A17" s="1198" t="s">
        <v>1388</v>
      </c>
      <c r="B17" s="346" t="s">
        <v>1425</v>
      </c>
      <c r="C17" s="24">
        <f ca="1">ROUND(F17*(F43+INDIRECT("'数据-取费表'!S"&amp;$G$1))/10000,0)</f>
        <v>1380</v>
      </c>
      <c r="D17" s="346" t="s">
        <v>1426</v>
      </c>
      <c r="E17" s="346" t="s">
        <v>1427</v>
      </c>
      <c r="F17" s="26">
        <f>'数据-取费表'!B35</f>
        <v>200</v>
      </c>
      <c r="G17" s="1851"/>
      <c r="H17" s="1198" t="s">
        <v>1035</v>
      </c>
      <c r="I17" s="346" t="s">
        <v>1428</v>
      </c>
      <c r="J17" s="24">
        <f ca="1">ROUND(IF(项目基本情况!B11="自然人",J5*M17,J18+J19+J20),1)</f>
        <v>15.3</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462</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33544</v>
      </c>
      <c r="D19" s="139" t="s">
        <v>1435</v>
      </c>
      <c r="E19" s="2937"/>
      <c r="F19" s="26"/>
      <c r="G19" s="1848"/>
      <c r="H19" s="1198" t="s">
        <v>1036</v>
      </c>
      <c r="I19" s="346" t="s">
        <v>1436</v>
      </c>
      <c r="J19" s="24">
        <f ca="1">IF(K19="按租金收入计税",ROUND(J5*M19,2),ROUND(C29*M19*0.7,2))</f>
        <v>0</v>
      </c>
      <c r="K19" s="1825" t="s">
        <v>3145</v>
      </c>
      <c r="L19" s="346" t="s">
        <v>1421</v>
      </c>
      <c r="M19" s="366">
        <f>IF(K19="按租金收入计税",'数据-取费表'!B51,'数据-取费表'!B50)</f>
        <v>0.12</v>
      </c>
    </row>
    <row r="20" spans="1:37" s="1855" customFormat="1" ht="18" customHeight="1">
      <c r="A20" s="1198" t="s">
        <v>1039</v>
      </c>
      <c r="B20" s="346" t="s">
        <v>1438</v>
      </c>
      <c r="C20" s="24">
        <f ca="1">ROUND(C19*F20,0)</f>
        <v>1006</v>
      </c>
      <c r="D20" s="368" t="s">
        <v>1439</v>
      </c>
      <c r="E20" s="346" t="s">
        <v>1421</v>
      </c>
      <c r="F20" s="366">
        <f>'数据-取费表'!B37</f>
        <v>0.03</v>
      </c>
      <c r="G20" s="1851"/>
      <c r="H20" s="1198" t="s">
        <v>1387</v>
      </c>
      <c r="I20" s="163" t="s">
        <v>1440</v>
      </c>
      <c r="J20" s="25">
        <f ca="1">ROUND(M20*M21/10000,2)</f>
        <v>15.3</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12750.77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987.6</v>
      </c>
      <c r="K22" s="2932"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1641</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-1003</v>
      </c>
      <c r="K25" s="1342" t="s">
        <v>1463</v>
      </c>
      <c r="L25" s="1343"/>
      <c r="M25" s="1344"/>
    </row>
    <row r="26" spans="1:37">
      <c r="A26" s="1198" t="s">
        <v>1034</v>
      </c>
      <c r="B26" s="346" t="s">
        <v>1464</v>
      </c>
      <c r="C26" s="24">
        <f ca="1">ROUND((C19+C20)*F26,0)</f>
        <v>8638</v>
      </c>
      <c r="D26" s="368" t="s">
        <v>1465</v>
      </c>
      <c r="E26" s="357" t="s">
        <v>1466</v>
      </c>
      <c r="F26" s="356">
        <f ca="1">INDIRECT("'数据-取费表'!q"&amp;$G$1)</f>
        <v>0.25</v>
      </c>
      <c r="G26" s="1848"/>
      <c r="H26" s="343" t="s">
        <v>1032</v>
      </c>
      <c r="I26" s="344" t="s">
        <v>1467</v>
      </c>
      <c r="J26" s="345">
        <f ca="1">IF(J5&lt;&gt;0,ROUND(J25*(1-((1+M28)/(1+M26))^M27)/(M26-M28),0),0)</f>
        <v>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49382</v>
      </c>
      <c r="D29" s="1339"/>
      <c r="E29" s="1337"/>
      <c r="F29" s="1340"/>
      <c r="G29" s="1851"/>
      <c r="H29" s="379" t="s">
        <v>1033</v>
      </c>
      <c r="I29" s="380" t="s">
        <v>1478</v>
      </c>
      <c r="J29" s="381">
        <f ca="1">ROUND(J26/(1+F40)^F41,0)</f>
        <v>0</v>
      </c>
      <c r="K29" s="382" t="s">
        <v>1479</v>
      </c>
      <c r="L29" s="383"/>
      <c r="M29" s="384">
        <f ca="1">INDIRECT("'数据-取费表'!k"&amp;$G$1)</f>
        <v>67234.069999999992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5275</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3772.3</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1156</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2601</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15.3</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12750.77</v>
      </c>
      <c r="G35" s="1848"/>
      <c r="H35" s="744"/>
      <c r="I35" s="1857"/>
      <c r="J35" s="1858"/>
      <c r="K35" s="1859"/>
      <c r="L35" s="1856"/>
      <c r="M35" s="1856"/>
    </row>
    <row r="36" spans="1:18" ht="18" customHeight="1">
      <c r="A36" s="1349" t="s">
        <v>1039</v>
      </c>
      <c r="B36" s="346" t="s">
        <v>1448</v>
      </c>
      <c r="C36" s="24">
        <f ca="1">ROUND(C29*F36,1)</f>
        <v>987.6</v>
      </c>
      <c r="D36" s="2932"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82</v>
      </c>
      <c r="D37" s="2932" t="s">
        <v>1453</v>
      </c>
      <c r="E37" s="346" t="s">
        <v>1421</v>
      </c>
      <c r="F37" s="375">
        <f ca="1">INDIRECT("'数据-取费表'!Al"&amp;$G$1)</f>
        <v>2E-3</v>
      </c>
      <c r="G37" s="1848"/>
      <c r="H37" s="1856"/>
      <c r="I37" s="1857"/>
      <c r="J37" s="1858"/>
      <c r="K37" s="750"/>
      <c r="L37" s="1856"/>
      <c r="M37" s="1856"/>
    </row>
    <row r="38" spans="1:18" ht="18" customHeight="1" thickBot="1">
      <c r="A38" s="1336" t="s">
        <v>1390</v>
      </c>
      <c r="B38" s="1337" t="s">
        <v>1438</v>
      </c>
      <c r="C38" s="1338">
        <f ca="1">ROUND(C5*F38,1)</f>
        <v>433.5</v>
      </c>
      <c r="D38" s="1339" t="s">
        <v>1458</v>
      </c>
      <c r="E38" s="1337" t="s">
        <v>1421</v>
      </c>
      <c r="F38" s="1333">
        <f ca="1">INDIRECT("'数据-取费表'!Am"&amp;$G$1)</f>
        <v>0.02</v>
      </c>
      <c r="G38" s="1848"/>
      <c r="H38" s="1856"/>
      <c r="I38" s="1857"/>
      <c r="J38" s="1858"/>
      <c r="K38" s="1862"/>
      <c r="L38" s="1856"/>
      <c r="M38" s="1856"/>
    </row>
    <row r="39" spans="1:18" ht="24.6" customHeight="1" thickTop="1">
      <c r="A39" s="1326" t="s">
        <v>1031</v>
      </c>
      <c r="B39" s="1341" t="s">
        <v>1462</v>
      </c>
      <c r="C39" s="354">
        <f ca="1">C5-C30</f>
        <v>16400</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374762</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29.31</v>
      </c>
      <c r="G41" s="1848"/>
      <c r="H41" s="731"/>
      <c r="I41" s="1857"/>
      <c r="J41" s="1858"/>
      <c r="K41" s="750"/>
      <c r="L41" s="731"/>
      <c r="M41" s="731"/>
    </row>
    <row r="42" spans="1:18" ht="18" customHeight="1">
      <c r="A42" s="352"/>
      <c r="B42" s="353"/>
      <c r="C42" s="354"/>
      <c r="D42" s="372"/>
      <c r="E42" s="346" t="s">
        <v>1476</v>
      </c>
      <c r="F42" s="356">
        <f ca="1">INDIRECT("'数据-取费表'!v"&amp;$G$1)</f>
        <v>0.04</v>
      </c>
      <c r="G42" s="1848"/>
      <c r="H42" s="731"/>
      <c r="I42" s="1857"/>
      <c r="J42" s="1858"/>
      <c r="K42" s="750"/>
      <c r="L42" s="731"/>
      <c r="M42" s="731"/>
    </row>
    <row r="43" spans="1:18" ht="18" customHeight="1" thickBot="1">
      <c r="A43" s="379" t="s">
        <v>1033</v>
      </c>
      <c r="B43" s="380" t="s">
        <v>1486</v>
      </c>
      <c r="C43" s="381">
        <f ca="1">ROUND(C40*10000/F43,0)</f>
        <v>55740</v>
      </c>
      <c r="D43" s="382" t="s">
        <v>1487</v>
      </c>
      <c r="E43" s="383" t="s">
        <v>1488</v>
      </c>
      <c r="F43" s="384">
        <f ca="1">INDIRECT("'数据-取费表'!k"&amp;$G$1)</f>
        <v>67234.069999999992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-450099</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374762</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49382</v>
      </c>
      <c r="R49" s="1883" t="s">
        <v>1528</v>
      </c>
    </row>
    <row r="50" spans="1:18" s="1839" customFormat="1" ht="13.5" thickBot="1">
      <c r="A50" s="1192"/>
      <c r="B50" s="1195"/>
      <c r="C50" s="1365"/>
      <c r="D50" s="1169"/>
      <c r="E50" s="1274" t="s">
        <v>1404</v>
      </c>
      <c r="F50" s="1275">
        <f ca="1">F7</f>
        <v>67234.069999999992</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208026</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374762</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40987</v>
      </c>
      <c r="D56" s="1911"/>
      <c r="E56" s="1912"/>
      <c r="F56" s="1904"/>
      <c r="I56" s="1913" t="s">
        <v>1553</v>
      </c>
      <c r="J56" s="1914" t="s">
        <v>3019</v>
      </c>
      <c r="K56" s="1884" t="s">
        <v>1554</v>
      </c>
      <c r="L56" s="1887" t="str">
        <f ca="1">IF(L48&lt;J51,"——",L48-J53)</f>
        <v>——</v>
      </c>
      <c r="O56" s="1881" t="s">
        <v>1040</v>
      </c>
      <c r="P56" s="1882" t="s">
        <v>1527</v>
      </c>
      <c r="Q56" s="1883">
        <f ca="1">C40+J29</f>
        <v>374762</v>
      </c>
      <c r="R56" s="1883" t="s">
        <v>1528</v>
      </c>
    </row>
    <row r="57" spans="1:18" s="1839" customFormat="1" ht="24.75" thickBot="1">
      <c r="A57" s="1915"/>
      <c r="B57" s="1166" t="s">
        <v>1477</v>
      </c>
      <c r="C57" s="281">
        <f ca="1">C29</f>
        <v>49382</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5233</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4163.3999999999996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4148.09</v>
      </c>
      <c r="D61" s="1825" t="s">
        <v>1437</v>
      </c>
      <c r="E61" s="1166" t="s">
        <v>1421</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15.3</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374762</v>
      </c>
      <c r="R62" s="1883" t="s">
        <v>1047</v>
      </c>
    </row>
    <row r="63" spans="1:18" s="1839" customFormat="1" ht="13.5" thickBot="1">
      <c r="A63" s="371"/>
      <c r="B63" s="1172"/>
      <c r="C63" s="29"/>
      <c r="D63" s="1182"/>
      <c r="E63" s="1166" t="s">
        <v>1446</v>
      </c>
      <c r="F63" s="347">
        <f t="shared" ca="1" si="0"/>
        <v>12750.77</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987.6</v>
      </c>
      <c r="D64" s="1180" t="s">
        <v>1481</v>
      </c>
      <c r="E64" s="1166" t="s">
        <v>1421</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82</v>
      </c>
      <c r="D65" s="1180" t="s">
        <v>1453</v>
      </c>
      <c r="E65" s="1166" t="s">
        <v>1421</v>
      </c>
      <c r="F65" s="375">
        <f t="shared" ca="1" si="0"/>
        <v>2E-3</v>
      </c>
      <c r="I65" s="1926" t="s">
        <v>1578</v>
      </c>
      <c r="J65" s="1927">
        <v>40</v>
      </c>
      <c r="K65" s="1927">
        <v>30</v>
      </c>
      <c r="L65" s="1927">
        <v>50</v>
      </c>
      <c r="M65" s="1929">
        <v>0.02</v>
      </c>
      <c r="O65" s="1881" t="s">
        <v>1040</v>
      </c>
      <c r="P65" s="1882" t="s">
        <v>1527</v>
      </c>
      <c r="Q65" s="1883">
        <f ca="1">C40+J29</f>
        <v>374762</v>
      </c>
      <c r="R65" s="1883" t="s">
        <v>1528</v>
      </c>
    </row>
    <row r="66" spans="1:18" s="1839" customFormat="1" ht="16.5" thickBot="1">
      <c r="A66" s="1198" t="s">
        <v>1503</v>
      </c>
      <c r="B66" s="1166" t="s">
        <v>1438</v>
      </c>
      <c r="C66" s="24">
        <f ca="1">ROUND(C48*F66,1)</f>
        <v>0</v>
      </c>
      <c r="D66" s="1180" t="s">
        <v>1458</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-5233</v>
      </c>
      <c r="D67" s="1179" t="s">
        <v>1463</v>
      </c>
      <c r="E67" s="1184"/>
      <c r="F67" s="1185"/>
      <c r="O67" s="1891" t="s">
        <v>1042</v>
      </c>
      <c r="P67" s="1882" t="s">
        <v>1561</v>
      </c>
      <c r="Q67" s="1930">
        <f ca="1">L51</f>
        <v>208026</v>
      </c>
      <c r="R67" s="1883" t="s">
        <v>1581</v>
      </c>
    </row>
    <row r="68" spans="1:18" s="1839" customFormat="1" ht="16.5" thickBot="1">
      <c r="A68" s="1163" t="s">
        <v>1032</v>
      </c>
      <c r="B68" s="1164" t="s">
        <v>1484</v>
      </c>
      <c r="C68" s="345">
        <f ca="1">ROUND(C67*(1-((1+F70)/(1+F68))^F69)/(F68-F70),0)</f>
        <v>-75337</v>
      </c>
      <c r="D68" s="1181" t="s">
        <v>1468</v>
      </c>
      <c r="E68" s="1166" t="s">
        <v>1469</v>
      </c>
      <c r="F68" s="356">
        <f ca="1">F40</f>
        <v>5.5E-2</v>
      </c>
      <c r="O68" s="1891" t="s">
        <v>1043</v>
      </c>
      <c r="P68" s="1931" t="s">
        <v>1582</v>
      </c>
      <c r="Q68" s="1883">
        <f ca="1">ROUND(Q69-Q70*Q71,0)</f>
        <v>12916</v>
      </c>
      <c r="R68" s="1883" t="s">
        <v>1051</v>
      </c>
    </row>
    <row r="69" spans="1:18" s="1839" customFormat="1" ht="13.5" thickBot="1">
      <c r="A69" s="1167"/>
      <c r="B69" s="1168"/>
      <c r="C69" s="350"/>
      <c r="D69" s="1186" t="s">
        <v>1472</v>
      </c>
      <c r="E69" s="1166" t="s">
        <v>1473</v>
      </c>
      <c r="F69" s="378">
        <f ca="1">F41</f>
        <v>29.31</v>
      </c>
      <c r="O69" s="1891" t="s">
        <v>1048</v>
      </c>
      <c r="P69" s="1931" t="s">
        <v>1583</v>
      </c>
      <c r="Q69" s="1883">
        <f ca="1">C39</f>
        <v>16400</v>
      </c>
      <c r="R69" s="1883" t="s">
        <v>1528</v>
      </c>
    </row>
    <row r="70" spans="1:18" s="1839" customFormat="1" ht="13.5" thickBot="1">
      <c r="A70" s="1170"/>
      <c r="B70" s="1171"/>
      <c r="C70" s="354"/>
      <c r="D70" s="1182"/>
      <c r="E70" s="1166" t="s">
        <v>1476</v>
      </c>
      <c r="F70" s="1272"/>
      <c r="O70" s="1891" t="s">
        <v>1049</v>
      </c>
      <c r="P70" s="1931" t="s">
        <v>1584</v>
      </c>
      <c r="Q70" s="1883">
        <f ca="1">C13</f>
        <v>40987</v>
      </c>
      <c r="R70" s="1883" t="s">
        <v>1528</v>
      </c>
    </row>
    <row r="71" spans="1:18" s="1839" customFormat="1" ht="13.5" thickBot="1">
      <c r="A71" s="1187" t="s">
        <v>1033</v>
      </c>
      <c r="B71" s="1188" t="s">
        <v>1486</v>
      </c>
      <c r="C71" s="381">
        <f ca="1">ROUND(C68*10000/F71,0)</f>
        <v>-11205</v>
      </c>
      <c r="D71" s="1189" t="s">
        <v>1487</v>
      </c>
      <c r="E71" s="1190" t="s">
        <v>1488</v>
      </c>
      <c r="F71" s="384">
        <f ca="1">F43</f>
        <v>67234.069999999992</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3484</v>
      </c>
      <c r="D75" s="1839"/>
      <c r="E75" s="1839"/>
      <c r="F75" s="1839"/>
      <c r="K75" s="1865"/>
      <c r="L75" s="1839"/>
      <c r="O75" s="1881" t="s">
        <v>1046</v>
      </c>
      <c r="P75" s="1882" t="s">
        <v>1548</v>
      </c>
      <c r="Q75" s="1883">
        <f ca="1">Q65+Q66</f>
        <v>374762</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0.78800000000000003</v>
      </c>
    </row>
    <row r="80" spans="1:18">
      <c r="B80" s="385" t="s">
        <v>1510</v>
      </c>
      <c r="C80" s="317">
        <f ca="1">ROUND(C75/C39,3)</f>
        <v>0.21199999999999999</v>
      </c>
    </row>
    <row r="81" spans="2:3">
      <c r="B81" s="313" t="s">
        <v>1511</v>
      </c>
      <c r="C81" s="281"/>
    </row>
    <row r="82" spans="2:3">
      <c r="B82" s="316" t="s">
        <v>1512</v>
      </c>
      <c r="C82" s="318">
        <f ca="1">1-C83</f>
        <v>0.89100000000000001</v>
      </c>
    </row>
    <row r="83" spans="2:3">
      <c r="B83" s="316" t="s">
        <v>1513</v>
      </c>
      <c r="C83" s="317">
        <f ca="1">ROUND(C13/C40,3)</f>
        <v>0.109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3053</v>
      </c>
      <c r="D1" s="1817" t="s">
        <v>70</v>
      </c>
      <c r="E1" s="1818" t="s">
        <v>1385</v>
      </c>
      <c r="F1" s="1280">
        <f ca="1">J53</f>
        <v>39.32</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17085</v>
      </c>
      <c r="C2" s="1842" t="s">
        <v>1515</v>
      </c>
      <c r="D2" s="1842"/>
      <c r="E2" s="1843"/>
      <c r="F2" s="1844"/>
      <c r="G2" s="1845"/>
      <c r="H2" s="1837"/>
      <c r="I2" s="1837"/>
      <c r="J2" s="1837"/>
      <c r="K2" s="1838"/>
      <c r="L2" s="1837"/>
      <c r="M2" s="1837"/>
    </row>
    <row r="3" spans="1:37" ht="18" customHeight="1" thickBot="1">
      <c r="A3" s="1846" t="s">
        <v>1516</v>
      </c>
      <c r="B3" s="1847">
        <f ca="1">IF(ISERROR(B2*10000/F43),0,ROUND(B2*10000/F43,0))</f>
        <v>9941</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890</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890</v>
      </c>
      <c r="D6" s="163" t="s">
        <v>2991</v>
      </c>
      <c r="E6" s="346" t="s">
        <v>1403</v>
      </c>
      <c r="F6" s="347">
        <f ca="1">INDIRECT("'数据-取费表'!u"&amp;$G$1)</f>
        <v>1200</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687</v>
      </c>
      <c r="G7" s="1848"/>
      <c r="H7" s="348"/>
      <c r="I7" s="3202"/>
      <c r="J7" s="350"/>
      <c r="K7" s="351"/>
      <c r="L7" s="346" t="s">
        <v>1404</v>
      </c>
      <c r="M7" s="347">
        <f ca="1">F7</f>
        <v>687</v>
      </c>
    </row>
    <row r="8" spans="1:37" ht="18" customHeight="1">
      <c r="A8" s="348"/>
      <c r="B8" s="3202"/>
      <c r="C8" s="350"/>
      <c r="D8" s="351"/>
      <c r="E8" s="346" t="s">
        <v>1405</v>
      </c>
      <c r="F8" s="347">
        <f ca="1">INDIRECT("'数据-取费表'!ai"&amp;$G$1)</f>
        <v>12</v>
      </c>
      <c r="G8" s="1848"/>
      <c r="H8" s="348"/>
      <c r="I8" s="3202"/>
      <c r="J8" s="350"/>
      <c r="K8" s="351"/>
      <c r="L8" s="346" t="s">
        <v>1405</v>
      </c>
      <c r="M8" s="347">
        <f ca="1">INDIRECT("'数据-取费表'!ai"&amp;$G$1)</f>
        <v>12</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0</v>
      </c>
      <c r="D10" s="1821" t="s">
        <v>2987</v>
      </c>
      <c r="E10" s="357" t="s">
        <v>1409</v>
      </c>
      <c r="F10" s="2988" t="s">
        <v>3144</v>
      </c>
      <c r="G10" s="1848"/>
      <c r="H10" s="1288" t="s">
        <v>1039</v>
      </c>
      <c r="I10" s="1820" t="s">
        <v>1407</v>
      </c>
      <c r="J10" s="345">
        <f ca="1">ROUND(IF(M10="押一",M6*M8*M7/12*M11,IF(M10="押二",M6*M8*M7/12*2*M11,IF(M10="押三",M6*M8*M7/12*3*M11,J11*M11)))/10000,0)</f>
        <v>0</v>
      </c>
      <c r="K10" s="1821" t="s">
        <v>2987</v>
      </c>
      <c r="L10" s="357" t="s">
        <v>1409</v>
      </c>
      <c r="M10" s="1363" t="s">
        <v>1410</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6323</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5290</v>
      </c>
      <c r="D14" s="2933" t="s">
        <v>1417</v>
      </c>
      <c r="E14" s="2931"/>
      <c r="F14" s="363"/>
      <c r="G14" s="1848"/>
      <c r="H14" s="1198" t="s">
        <v>1035</v>
      </c>
      <c r="I14" s="346" t="s">
        <v>1418</v>
      </c>
      <c r="J14" s="24">
        <f ca="1">C29</f>
        <v>7618</v>
      </c>
      <c r="K14" s="2938"/>
      <c r="L14" s="976"/>
      <c r="M14" s="977"/>
    </row>
    <row r="15" spans="1:37" s="1855" customFormat="1" ht="18" customHeight="1" thickBot="1">
      <c r="A15" s="1198" t="s">
        <v>1036</v>
      </c>
      <c r="B15" s="346" t="s">
        <v>1419</v>
      </c>
      <c r="C15" s="24">
        <f ca="1">ROUND(C14*F15,0)</f>
        <v>159</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182</v>
      </c>
      <c r="K16" s="1334" t="s">
        <v>1424</v>
      </c>
      <c r="L16" s="2934"/>
      <c r="M16" s="1291"/>
    </row>
    <row r="17" spans="1:37" s="1855" customFormat="1" ht="18" customHeight="1">
      <c r="A17" s="1198" t="s">
        <v>1388</v>
      </c>
      <c r="B17" s="346" t="s">
        <v>1425</v>
      </c>
      <c r="C17" s="24">
        <f ca="1">ROUND(F17*(F43+INDIRECT("'数据-取费表'!S"&amp;$G$1))/10000,0)</f>
        <v>353</v>
      </c>
      <c r="D17" s="346" t="s">
        <v>1426</v>
      </c>
      <c r="E17" s="346" t="s">
        <v>1427</v>
      </c>
      <c r="F17" s="26">
        <f>'数据-取费表'!B35</f>
        <v>200</v>
      </c>
      <c r="G17" s="1851"/>
      <c r="H17" s="1198" t="s">
        <v>1035</v>
      </c>
      <c r="I17" s="346" t="s">
        <v>1428</v>
      </c>
      <c r="J17" s="24">
        <f ca="1">ROUND(IF(项目基本情况!B11="自然人",J5*M17,J18+J19+J20),1)</f>
        <v>67.900000000000006</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79</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5881</v>
      </c>
      <c r="D19" s="139" t="s">
        <v>1435</v>
      </c>
      <c r="E19" s="2937"/>
      <c r="F19" s="26"/>
      <c r="G19" s="1848"/>
      <c r="H19" s="1198" t="s">
        <v>1036</v>
      </c>
      <c r="I19" s="346" t="s">
        <v>1436</v>
      </c>
      <c r="J19" s="24">
        <f ca="1">IF(K19="按租金收入计税",ROUND(J5*M19,2),ROUND(C29*M19*0.7,2))</f>
        <v>63.99</v>
      </c>
      <c r="K19" s="1825" t="s">
        <v>1437</v>
      </c>
      <c r="L19" s="346" t="s">
        <v>1421</v>
      </c>
      <c r="M19" s="366">
        <f>IF(K19="按租金收入计税",'数据-取费表'!B51,'数据-取费表'!B50)</f>
        <v>1.2E-2</v>
      </c>
    </row>
    <row r="20" spans="1:37" s="1855" customFormat="1" ht="18" customHeight="1">
      <c r="A20" s="1198" t="s">
        <v>1039</v>
      </c>
      <c r="B20" s="346" t="s">
        <v>1438</v>
      </c>
      <c r="C20" s="24">
        <f ca="1">ROUND(C19*F20,0)</f>
        <v>176</v>
      </c>
      <c r="D20" s="368" t="s">
        <v>1439</v>
      </c>
      <c r="E20" s="346" t="s">
        <v>1421</v>
      </c>
      <c r="F20" s="366">
        <f>'数据-取费表'!B37</f>
        <v>0.03</v>
      </c>
      <c r="G20" s="1851"/>
      <c r="H20" s="1198" t="s">
        <v>1387</v>
      </c>
      <c r="I20" s="163" t="s">
        <v>1440</v>
      </c>
      <c r="J20" s="25">
        <f ca="1">ROUND(M20*M21/10000,2)</f>
        <v>3.91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3259.35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114.3</v>
      </c>
      <c r="K22" s="2932" t="s">
        <v>1449</v>
      </c>
      <c r="L22" s="346" t="s">
        <v>1421</v>
      </c>
      <c r="M22" s="373">
        <f ca="1">INDIRECT("'数据-取费表'!Ak"&amp;$G$1)</f>
        <v>1.4999999999999999E-2</v>
      </c>
    </row>
    <row r="23" spans="1:37" s="1855" customFormat="1" ht="18" customHeight="1">
      <c r="A23" s="1198" t="s">
        <v>1034</v>
      </c>
      <c r="B23" s="346" t="s">
        <v>1450</v>
      </c>
      <c r="C23" s="24">
        <f ca="1">IF('数据-取费表'!B22&lt;=1,ROUND(C19*F24*F23/2,0)+ROUND(C20*F24*F23/2,0),ROUND(C19*(POWER((1+F24),F23/2)-1),0)+ROUND(C20*(POWER((1+F24),F23/2)-1),0))</f>
        <v>287</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-182</v>
      </c>
      <c r="K25" s="1342" t="s">
        <v>1463</v>
      </c>
      <c r="L25" s="1343"/>
      <c r="M25" s="1344"/>
    </row>
    <row r="26" spans="1:37">
      <c r="A26" s="1198" t="s">
        <v>1034</v>
      </c>
      <c r="B26" s="346" t="s">
        <v>1464</v>
      </c>
      <c r="C26" s="24">
        <f ca="1">ROUND((C19+C20)*F26,0)</f>
        <v>606</v>
      </c>
      <c r="D26" s="368" t="s">
        <v>1465</v>
      </c>
      <c r="E26" s="357" t="s">
        <v>1466</v>
      </c>
      <c r="F26" s="356">
        <f ca="1">INDIRECT("'数据-取费表'!q"&amp;$G$1)</f>
        <v>0.1</v>
      </c>
      <c r="G26" s="1848"/>
      <c r="H26" s="343" t="s">
        <v>1032</v>
      </c>
      <c r="I26" s="344" t="s">
        <v>1467</v>
      </c>
      <c r="J26" s="345">
        <f ca="1">IF(J5&lt;&gt;0,ROUND(J25*(1-((1+M28)/(1+M26))^M27)/(M26-M28),0),0)</f>
        <v>0</v>
      </c>
      <c r="K26" s="369" t="s">
        <v>1468</v>
      </c>
      <c r="L26" s="346" t="s">
        <v>1469</v>
      </c>
      <c r="M26" s="356">
        <f ca="1">INDIRECT("'数据-取费表'!I"&amp;$G$1)</f>
        <v>4.4999999999999998E-2</v>
      </c>
    </row>
    <row r="27" spans="1:37" ht="18" customHeight="1">
      <c r="A27" s="1198" t="s">
        <v>1036</v>
      </c>
      <c r="B27" s="346" t="s">
        <v>1470</v>
      </c>
      <c r="C27" s="24">
        <f ca="1">ROUND(F21*F26,4)</f>
        <v>3.0000000000000001E-3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7618</v>
      </c>
      <c r="D29" s="1339"/>
      <c r="E29" s="1337"/>
      <c r="F29" s="1340"/>
      <c r="G29" s="1851"/>
      <c r="H29" s="379" t="s">
        <v>1033</v>
      </c>
      <c r="I29" s="380" t="s">
        <v>1478</v>
      </c>
      <c r="J29" s="381">
        <f ca="1">ROUND(J26/(1+F40)^F41,0)</f>
        <v>0</v>
      </c>
      <c r="K29" s="382" t="s">
        <v>1479</v>
      </c>
      <c r="L29" s="383"/>
      <c r="M29" s="384">
        <f ca="1">INDIRECT("'数据-取费表'!k"&amp;$G$1)</f>
        <v>17186.37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248</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115.4</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47.47</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63.99</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f ca="1">IF(项目基本情况!B11="自然人","——",ROUND(F34*F35/10000,2))</f>
        <v>3.91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3259.35</v>
      </c>
      <c r="G35" s="1848"/>
      <c r="H35" s="744"/>
      <c r="I35" s="1857"/>
      <c r="J35" s="1858"/>
      <c r="K35" s="1859"/>
      <c r="L35" s="1856"/>
      <c r="M35" s="1856"/>
    </row>
    <row r="36" spans="1:18" ht="18" customHeight="1">
      <c r="A36" s="1349" t="s">
        <v>1039</v>
      </c>
      <c r="B36" s="346" t="s">
        <v>1448</v>
      </c>
      <c r="C36" s="24">
        <f ca="1">ROUND(C29*F36,1)</f>
        <v>114.3</v>
      </c>
      <c r="D36" s="2932" t="s">
        <v>1481</v>
      </c>
      <c r="E36" s="346" t="s">
        <v>1421</v>
      </c>
      <c r="F36" s="373">
        <f ca="1">INDIRECT("'数据-取费表'!Ak"&amp;$G$1)</f>
        <v>1.4999999999999999E-2</v>
      </c>
      <c r="G36" s="1848"/>
      <c r="H36" s="1856"/>
      <c r="I36" s="1857"/>
      <c r="J36" s="1858"/>
      <c r="K36" s="750"/>
      <c r="L36" s="1856"/>
      <c r="M36" s="1856"/>
    </row>
    <row r="37" spans="1:18" ht="18" customHeight="1">
      <c r="A37" s="1198" t="s">
        <v>1075</v>
      </c>
      <c r="B37" s="346" t="s">
        <v>1452</v>
      </c>
      <c r="C37" s="24">
        <f ca="1">ROUND(C13*F37,1)</f>
        <v>9.5</v>
      </c>
      <c r="D37" s="2932" t="s">
        <v>1453</v>
      </c>
      <c r="E37" s="346" t="s">
        <v>1421</v>
      </c>
      <c r="F37" s="375">
        <f ca="1">INDIRECT("'数据-取费表'!Al"&amp;$G$1)</f>
        <v>1.5E-3</v>
      </c>
      <c r="G37" s="1848"/>
      <c r="H37" s="1856"/>
      <c r="I37" s="1857"/>
      <c r="J37" s="1858"/>
      <c r="K37" s="750"/>
      <c r="L37" s="1856"/>
      <c r="M37" s="1856"/>
    </row>
    <row r="38" spans="1:18" ht="18" customHeight="1" thickBot="1">
      <c r="A38" s="1336" t="s">
        <v>1390</v>
      </c>
      <c r="B38" s="1337" t="s">
        <v>1438</v>
      </c>
      <c r="C38" s="1338">
        <f ca="1">ROUND(C5*F38,1)</f>
        <v>8.9</v>
      </c>
      <c r="D38" s="1339" t="s">
        <v>1458</v>
      </c>
      <c r="E38" s="1337" t="s">
        <v>1421</v>
      </c>
      <c r="F38" s="1333">
        <f ca="1">INDIRECT("'数据-取费表'!Am"&amp;$G$1)</f>
        <v>0.01</v>
      </c>
      <c r="G38" s="1848"/>
      <c r="H38" s="1856"/>
      <c r="I38" s="1857"/>
      <c r="J38" s="1858"/>
      <c r="K38" s="1862"/>
      <c r="L38" s="1856"/>
      <c r="M38" s="1856"/>
    </row>
    <row r="39" spans="1:18" ht="24.6" customHeight="1" thickTop="1">
      <c r="A39" s="1326" t="s">
        <v>1031</v>
      </c>
      <c r="B39" s="1341" t="s">
        <v>1462</v>
      </c>
      <c r="C39" s="354">
        <f ca="1">C5-C30</f>
        <v>642</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17085</v>
      </c>
      <c r="D40" s="369" t="s">
        <v>1468</v>
      </c>
      <c r="E40" s="346" t="s">
        <v>1469</v>
      </c>
      <c r="F40" s="356">
        <f ca="1">INDIRECT("'数据-取费表'!I"&amp;$G$1)</f>
        <v>4.4999999999999998E-2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39.32</v>
      </c>
      <c r="G41" s="1848"/>
      <c r="H41" s="731"/>
      <c r="I41" s="1857"/>
      <c r="J41" s="1858"/>
      <c r="K41" s="750"/>
      <c r="L41" s="731"/>
      <c r="M41" s="731"/>
    </row>
    <row r="42" spans="1:18" ht="18" customHeight="1">
      <c r="A42" s="352"/>
      <c r="B42" s="353"/>
      <c r="C42" s="354"/>
      <c r="D42" s="372"/>
      <c r="E42" s="346" t="s">
        <v>1476</v>
      </c>
      <c r="F42" s="356">
        <f ca="1">INDIRECT("'数据-取费表'!v"&amp;$G$1)</f>
        <v>2.5000000000000001E-2</v>
      </c>
      <c r="G42" s="1848"/>
      <c r="H42" s="731"/>
      <c r="I42" s="1857"/>
      <c r="J42" s="1858"/>
      <c r="K42" s="750"/>
      <c r="L42" s="731"/>
      <c r="M42" s="731"/>
    </row>
    <row r="43" spans="1:18" ht="18" customHeight="1" thickBot="1">
      <c r="A43" s="379" t="s">
        <v>1033</v>
      </c>
      <c r="B43" s="380" t="s">
        <v>1486</v>
      </c>
      <c r="C43" s="381">
        <f ca="1">ROUND(C40*10000/F43,0)</f>
        <v>9941</v>
      </c>
      <c r="D43" s="382" t="s">
        <v>1487</v>
      </c>
      <c r="E43" s="383" t="s">
        <v>1488</v>
      </c>
      <c r="F43" s="384">
        <f ca="1">INDIRECT("'数据-取费表'!k"&amp;$G$1)</f>
        <v>17186.37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f ca="1">C40/'数据-取费表'!AH8</f>
        <v>24.868995633187772</v>
      </c>
      <c r="J45" s="795"/>
      <c r="O45" s="1866" t="s">
        <v>1518</v>
      </c>
      <c r="P45" s="1836"/>
      <c r="Q45" s="1836"/>
      <c r="R45" s="1836"/>
    </row>
    <row r="46" spans="1:18" s="1839" customFormat="1" ht="13.5" thickBot="1">
      <c r="A46" s="1867" t="s">
        <v>1519</v>
      </c>
      <c r="C46" s="1868">
        <f ca="1">C68-C40</f>
        <v>-20596</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50</v>
      </c>
      <c r="M47" s="1835" t="str">
        <f>IF(ISNUMBER(FIND("住宅",C1)),"住宅","非住宅")</f>
        <v>非住宅</v>
      </c>
      <c r="O47" s="1881" t="s">
        <v>1040</v>
      </c>
      <c r="P47" s="1882" t="s">
        <v>1527</v>
      </c>
      <c r="Q47" s="1883">
        <f ca="1">C40+J29</f>
        <v>17085</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39.32</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7618</v>
      </c>
      <c r="R49" s="1883" t="s">
        <v>1528</v>
      </c>
    </row>
    <row r="50" spans="1:18" s="1839" customFormat="1" ht="13.5" thickBot="1">
      <c r="A50" s="1192"/>
      <c r="B50" s="1195"/>
      <c r="C50" s="1365"/>
      <c r="D50" s="1169"/>
      <c r="E50" s="1274" t="s">
        <v>1404</v>
      </c>
      <c r="F50" s="1275">
        <f ca="1">F7</f>
        <v>687</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12</v>
      </c>
      <c r="I51" s="1895" t="s">
        <v>1539</v>
      </c>
      <c r="J51" s="1896">
        <f>IF(J49="",J50,J49+J50-YEAR('数据-取费表'!B2))</f>
        <v>50</v>
      </c>
      <c r="K51" s="1897" t="s">
        <v>1540</v>
      </c>
      <c r="L51" s="1898">
        <f ca="1">ROUND(-PV(INDIRECT("'数据-取费表'!h"&amp;$G$1),L48,(C39-C13*C76),0),0)</f>
        <v>2055</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39.32</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39.32</v>
      </c>
      <c r="K53" s="3199" t="s">
        <v>1547</v>
      </c>
      <c r="L53" s="3200"/>
      <c r="O53" s="1881" t="s">
        <v>1046</v>
      </c>
      <c r="P53" s="1882" t="s">
        <v>1548</v>
      </c>
      <c r="Q53" s="1883">
        <f ca="1">Q47+Q48</f>
        <v>17085</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6323</v>
      </c>
      <c r="D56" s="1911"/>
      <c r="E56" s="1912"/>
      <c r="F56" s="1904"/>
      <c r="I56" s="1913" t="s">
        <v>1553</v>
      </c>
      <c r="J56" s="1914" t="s">
        <v>3019</v>
      </c>
      <c r="K56" s="1884" t="s">
        <v>1554</v>
      </c>
      <c r="L56" s="1887" t="str">
        <f ca="1">IF(L48&lt;J51,"——",L48-J53)</f>
        <v>——</v>
      </c>
      <c r="O56" s="1881" t="s">
        <v>1040</v>
      </c>
      <c r="P56" s="1882" t="s">
        <v>1527</v>
      </c>
      <c r="Q56" s="1883">
        <f ca="1">C40+J29</f>
        <v>17085</v>
      </c>
      <c r="R56" s="1883" t="s">
        <v>1528</v>
      </c>
    </row>
    <row r="57" spans="1:18" s="1839" customFormat="1" ht="24.75" thickBot="1">
      <c r="A57" s="1915"/>
      <c r="B57" s="1166" t="s">
        <v>1477</v>
      </c>
      <c r="C57" s="281">
        <f ca="1">C29</f>
        <v>7618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192</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67.900000000000006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63.99</v>
      </c>
      <c r="D61" s="1825" t="s">
        <v>1437</v>
      </c>
      <c r="E61" s="1166" t="s">
        <v>1421</v>
      </c>
      <c r="F61" s="366">
        <f t="shared" si="0"/>
        <v>1.2E-2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3.91</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17085</v>
      </c>
      <c r="R62" s="1883" t="s">
        <v>1047</v>
      </c>
    </row>
    <row r="63" spans="1:18" s="1839" customFormat="1" ht="13.5" thickBot="1">
      <c r="A63" s="371"/>
      <c r="B63" s="1172"/>
      <c r="C63" s="29"/>
      <c r="D63" s="1182"/>
      <c r="E63" s="1166" t="s">
        <v>1446</v>
      </c>
      <c r="F63" s="347">
        <f t="shared" ca="1" si="0"/>
        <v>3259.35</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114.3</v>
      </c>
      <c r="D64" s="1180" t="s">
        <v>1481</v>
      </c>
      <c r="E64" s="1166" t="s">
        <v>1421</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9.5</v>
      </c>
      <c r="D65" s="1180" t="s">
        <v>1453</v>
      </c>
      <c r="E65" s="1166" t="s">
        <v>1421</v>
      </c>
      <c r="F65" s="375">
        <f t="shared" ca="1" si="0"/>
        <v>1.5E-3</v>
      </c>
      <c r="I65" s="1926" t="s">
        <v>1578</v>
      </c>
      <c r="J65" s="1927">
        <v>40</v>
      </c>
      <c r="K65" s="1927">
        <v>30</v>
      </c>
      <c r="L65" s="1927">
        <v>50</v>
      </c>
      <c r="M65" s="1929">
        <v>0.02</v>
      </c>
      <c r="O65" s="1881" t="s">
        <v>1040</v>
      </c>
      <c r="P65" s="1882" t="s">
        <v>1527</v>
      </c>
      <c r="Q65" s="1883">
        <f ca="1">C40+J29</f>
        <v>17085</v>
      </c>
      <c r="R65" s="1883" t="s">
        <v>1528</v>
      </c>
    </row>
    <row r="66" spans="1:18" s="1839" customFormat="1" ht="16.5" thickBot="1">
      <c r="A66" s="1198" t="s">
        <v>1503</v>
      </c>
      <c r="B66" s="1166" t="s">
        <v>1438</v>
      </c>
      <c r="C66" s="24">
        <f ca="1">ROUND(C48*F66,1)</f>
        <v>0</v>
      </c>
      <c r="D66" s="1180" t="s">
        <v>1458</v>
      </c>
      <c r="E66" s="1166" t="s">
        <v>1421</v>
      </c>
      <c r="F66" s="356">
        <f t="shared" ca="1" si="0"/>
        <v>0.01</v>
      </c>
      <c r="O66" s="1881" t="s">
        <v>1041</v>
      </c>
      <c r="P66" s="1882" t="s">
        <v>1557</v>
      </c>
      <c r="Q66" s="1883">
        <f ca="1">L60</f>
        <v>0</v>
      </c>
      <c r="R66" s="1883" t="s">
        <v>1580</v>
      </c>
    </row>
    <row r="67" spans="1:18" s="1839" customFormat="1" ht="16.5" thickBot="1">
      <c r="A67" s="1173" t="s">
        <v>1031</v>
      </c>
      <c r="B67" s="1183" t="s">
        <v>1462</v>
      </c>
      <c r="C67" s="360">
        <f ca="1">C48-C58</f>
        <v>-192</v>
      </c>
      <c r="D67" s="1179" t="s">
        <v>1463</v>
      </c>
      <c r="E67" s="1184"/>
      <c r="F67" s="1185"/>
      <c r="O67" s="1891" t="s">
        <v>1042</v>
      </c>
      <c r="P67" s="1882" t="s">
        <v>1561</v>
      </c>
      <c r="Q67" s="1930">
        <f ca="1">L51</f>
        <v>2055</v>
      </c>
      <c r="R67" s="1883" t="s">
        <v>1581</v>
      </c>
    </row>
    <row r="68" spans="1:18" s="1839" customFormat="1" ht="16.5" thickBot="1">
      <c r="A68" s="1163" t="s">
        <v>1032</v>
      </c>
      <c r="B68" s="1164" t="s">
        <v>1484</v>
      </c>
      <c r="C68" s="345">
        <f ca="1">ROUND(C67*(1-((1+F70)/(1+F68))^F69)/(F68-F70),0)</f>
        <v>-3511</v>
      </c>
      <c r="D68" s="1181" t="s">
        <v>1468</v>
      </c>
      <c r="E68" s="1166" t="s">
        <v>1469</v>
      </c>
      <c r="F68" s="356">
        <f ca="1">F40</f>
        <v>4.4999999999999998E-2</v>
      </c>
      <c r="O68" s="1891" t="s">
        <v>1043</v>
      </c>
      <c r="P68" s="1931" t="s">
        <v>1582</v>
      </c>
      <c r="Q68" s="1883">
        <f ca="1">ROUND(Q69-Q70*Q71,0)</f>
        <v>105</v>
      </c>
      <c r="R68" s="1883" t="s">
        <v>1051</v>
      </c>
    </row>
    <row r="69" spans="1:18" s="1839" customFormat="1" ht="13.5" thickBot="1">
      <c r="A69" s="1167"/>
      <c r="B69" s="1168"/>
      <c r="C69" s="350"/>
      <c r="D69" s="1186" t="s">
        <v>1472</v>
      </c>
      <c r="E69" s="1166" t="s">
        <v>1473</v>
      </c>
      <c r="F69" s="378">
        <f ca="1">F41</f>
        <v>39.32</v>
      </c>
      <c r="O69" s="1891" t="s">
        <v>1048</v>
      </c>
      <c r="P69" s="1931" t="s">
        <v>1583</v>
      </c>
      <c r="Q69" s="1883">
        <f ca="1">C39</f>
        <v>642</v>
      </c>
      <c r="R69" s="1883" t="s">
        <v>1528</v>
      </c>
    </row>
    <row r="70" spans="1:18" s="1839" customFormat="1" ht="13.5" thickBot="1">
      <c r="A70" s="1170"/>
      <c r="B70" s="1171"/>
      <c r="C70" s="354"/>
      <c r="D70" s="1182"/>
      <c r="E70" s="1166" t="s">
        <v>1476</v>
      </c>
      <c r="F70" s="1272"/>
      <c r="O70" s="1891" t="s">
        <v>1049</v>
      </c>
      <c r="P70" s="1931" t="s">
        <v>1584</v>
      </c>
      <c r="Q70" s="1883">
        <f ca="1">C13</f>
        <v>6323</v>
      </c>
      <c r="R70" s="1883" t="s">
        <v>1528</v>
      </c>
    </row>
    <row r="71" spans="1:18" s="1839" customFormat="1" ht="13.5" thickBot="1">
      <c r="A71" s="1187" t="s">
        <v>1033</v>
      </c>
      <c r="B71" s="1188" t="s">
        <v>1486</v>
      </c>
      <c r="C71" s="381">
        <f ca="1">ROUND(C68*10000/F71,0)</f>
        <v>-2043</v>
      </c>
      <c r="D71" s="1189" t="s">
        <v>1487</v>
      </c>
      <c r="E71" s="1190" t="s">
        <v>1488</v>
      </c>
      <c r="F71" s="384">
        <f ca="1">F43</f>
        <v>17186.37</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537</v>
      </c>
      <c r="D75" s="1839"/>
      <c r="E75" s="1839"/>
      <c r="F75" s="1839"/>
      <c r="K75" s="1865"/>
      <c r="L75" s="1839"/>
      <c r="O75" s="1881" t="s">
        <v>1046</v>
      </c>
      <c r="P75" s="1882" t="s">
        <v>1548</v>
      </c>
      <c r="Q75" s="1883">
        <f ca="1">Q65+Q66</f>
        <v>17085</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0.16400000000000003</v>
      </c>
    </row>
    <row r="80" spans="1:18">
      <c r="B80" s="385" t="s">
        <v>1510</v>
      </c>
      <c r="C80" s="317">
        <f ca="1">ROUND(C75/C39,3)</f>
        <v>0.83599999999999997</v>
      </c>
    </row>
    <row r="81" spans="2:3">
      <c r="B81" s="313" t="s">
        <v>1511</v>
      </c>
      <c r="C81" s="281"/>
    </row>
    <row r="82" spans="2:3">
      <c r="B82" s="316" t="s">
        <v>1512</v>
      </c>
      <c r="C82" s="318">
        <f ca="1">1-C83</f>
        <v>0.63</v>
      </c>
    </row>
    <row r="83" spans="2:3">
      <c r="B83" s="316" t="s">
        <v>1513</v>
      </c>
      <c r="C83" s="317">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78"/>
  <sheetViews>
    <sheetView tabSelected="1" topLeftCell="D1" workbookViewId="0">
      <selection activeCell="H70" sqref="H70"/>
    </sheetView>
  </sheetViews>
  <sheetFormatPr defaultRowHeight="13.5"/>
  <cols>
    <col min="6" max="6" width="18.375" customWidth="1"/>
    <col min="7" max="7" width="20.625" customWidth="1"/>
    <col min="8" max="8" width="19.25" bestFit="1" customWidth="1"/>
    <col min="9" max="9" width="21.5" customWidth="1"/>
    <col min="10" max="10" width="15.875" customWidth="1"/>
    <col min="11" max="11" width="17.625" customWidth="1"/>
  </cols>
  <sheetData>
    <row r="4" spans="4:10" ht="14.25">
      <c r="D4" s="3314" t="s">
        <v>3078</v>
      </c>
      <c r="E4" s="3315"/>
      <c r="F4" s="3315"/>
      <c r="G4" s="3315"/>
      <c r="H4" s="3315"/>
      <c r="I4" s="3315"/>
      <c r="J4" s="3316"/>
    </row>
    <row r="5" spans="4:10">
      <c r="D5" s="2943" t="s">
        <v>3079</v>
      </c>
      <c r="E5" s="2943" t="s">
        <v>3080</v>
      </c>
      <c r="F5" s="2944" t="s">
        <v>3081</v>
      </c>
      <c r="G5" s="2944" t="s">
        <v>3082</v>
      </c>
      <c r="H5" s="2943" t="s">
        <v>3083</v>
      </c>
      <c r="I5" s="2943" t="s">
        <v>3084</v>
      </c>
      <c r="J5" s="2944" t="s">
        <v>3085</v>
      </c>
    </row>
    <row r="6" spans="4:10">
      <c r="D6" s="3317">
        <v>1</v>
      </c>
      <c r="E6" s="3317" t="s">
        <v>3086</v>
      </c>
      <c r="F6" s="3320" t="s">
        <v>3087</v>
      </c>
      <c r="G6" s="2945" t="s">
        <v>3088</v>
      </c>
      <c r="H6" s="2946">
        <v>27.6</v>
      </c>
      <c r="I6" s="3323">
        <v>15848.4</v>
      </c>
      <c r="J6" s="3326" t="s">
        <v>3089</v>
      </c>
    </row>
    <row r="7" spans="4:10">
      <c r="D7" s="3318"/>
      <c r="E7" s="3318"/>
      <c r="F7" s="3321"/>
      <c r="G7" s="2945" t="s">
        <v>3090</v>
      </c>
      <c r="H7" s="2946">
        <v>22.65</v>
      </c>
      <c r="I7" s="3324"/>
      <c r="J7" s="3327"/>
    </row>
    <row r="8" spans="4:10">
      <c r="D8" s="3318"/>
      <c r="E8" s="3318"/>
      <c r="F8" s="3321"/>
      <c r="G8" s="2945" t="s">
        <v>3065</v>
      </c>
      <c r="H8" s="2946">
        <v>36.479999999999997</v>
      </c>
      <c r="I8" s="3324"/>
      <c r="J8" s="3327"/>
    </row>
    <row r="9" spans="4:10">
      <c r="D9" s="3318"/>
      <c r="E9" s="3318"/>
      <c r="F9" s="3321"/>
      <c r="G9" s="2945" t="s">
        <v>3066</v>
      </c>
      <c r="H9" s="2946">
        <v>14.5</v>
      </c>
      <c r="I9" s="3324"/>
      <c r="J9" s="3327"/>
    </row>
    <row r="10" spans="4:10">
      <c r="D10" s="3318"/>
      <c r="E10" s="3318"/>
      <c r="F10" s="3321"/>
      <c r="G10" s="2945" t="s">
        <v>3067</v>
      </c>
      <c r="H10" s="2946">
        <v>14.91</v>
      </c>
      <c r="I10" s="3324"/>
      <c r="J10" s="3327"/>
    </row>
    <row r="11" spans="4:10">
      <c r="D11" s="3318"/>
      <c r="E11" s="3318"/>
      <c r="F11" s="3321"/>
      <c r="G11" s="2945" t="s">
        <v>3068</v>
      </c>
      <c r="H11" s="2946">
        <v>8.41</v>
      </c>
      <c r="I11" s="3324"/>
      <c r="J11" s="3327"/>
    </row>
    <row r="12" spans="4:10">
      <c r="D12" s="3318"/>
      <c r="E12" s="3318"/>
      <c r="F12" s="3321"/>
      <c r="G12" s="2945" t="s">
        <v>3069</v>
      </c>
      <c r="H12" s="2946">
        <v>12941.08</v>
      </c>
      <c r="I12" s="3324"/>
      <c r="J12" s="3327"/>
    </row>
    <row r="13" spans="4:10" ht="14.25" thickBot="1">
      <c r="D13" s="3319"/>
      <c r="E13" s="3319"/>
      <c r="F13" s="3322"/>
      <c r="G13" s="2947" t="s">
        <v>3070</v>
      </c>
      <c r="H13" s="2948">
        <v>2782.77</v>
      </c>
      <c r="I13" s="3325"/>
      <c r="J13" s="3328"/>
    </row>
    <row r="14" spans="4:10">
      <c r="D14" s="3337">
        <v>2</v>
      </c>
      <c r="E14" s="3340" t="s">
        <v>3086</v>
      </c>
      <c r="F14" s="3341" t="s">
        <v>3091</v>
      </c>
      <c r="G14" s="2949" t="s">
        <v>3092</v>
      </c>
      <c r="H14" s="2950">
        <v>25161.47</v>
      </c>
      <c r="I14" s="3340">
        <v>29550.67</v>
      </c>
      <c r="J14" s="3344" t="s">
        <v>3093</v>
      </c>
    </row>
    <row r="15" spans="4:10">
      <c r="D15" s="3338"/>
      <c r="E15" s="3318"/>
      <c r="F15" s="3342"/>
      <c r="G15" s="2945" t="s">
        <v>3071</v>
      </c>
      <c r="H15" s="2946">
        <v>4245.29</v>
      </c>
      <c r="I15" s="3318"/>
      <c r="J15" s="3327"/>
    </row>
    <row r="16" spans="4:10">
      <c r="D16" s="3338"/>
      <c r="E16" s="3318"/>
      <c r="F16" s="3342"/>
      <c r="G16" s="2945" t="s">
        <v>3072</v>
      </c>
      <c r="H16" s="2946">
        <v>17.23</v>
      </c>
      <c r="I16" s="3318"/>
      <c r="J16" s="3327"/>
    </row>
    <row r="17" spans="4:10">
      <c r="D17" s="3338"/>
      <c r="E17" s="3318"/>
      <c r="F17" s="3342"/>
      <c r="G17" s="2945" t="s">
        <v>3073</v>
      </c>
      <c r="H17" s="2946">
        <v>8.0399999999999991</v>
      </c>
      <c r="I17" s="3318"/>
      <c r="J17" s="3327"/>
    </row>
    <row r="18" spans="4:10">
      <c r="D18" s="3338"/>
      <c r="E18" s="3318"/>
      <c r="F18" s="3342"/>
      <c r="G18" s="2945" t="s">
        <v>3074</v>
      </c>
      <c r="H18" s="2946">
        <v>8.44</v>
      </c>
      <c r="I18" s="3318"/>
      <c r="J18" s="3327"/>
    </row>
    <row r="19" spans="4:10">
      <c r="D19" s="3338"/>
      <c r="E19" s="3318"/>
      <c r="F19" s="3342"/>
      <c r="G19" s="2945" t="s">
        <v>3075</v>
      </c>
      <c r="H19" s="2946">
        <v>14.93</v>
      </c>
      <c r="I19" s="3318"/>
      <c r="J19" s="3327"/>
    </row>
    <row r="20" spans="4:10">
      <c r="D20" s="3338"/>
      <c r="E20" s="3318"/>
      <c r="F20" s="3342"/>
      <c r="G20" s="2945" t="s">
        <v>3076</v>
      </c>
      <c r="H20" s="2946">
        <v>42.41</v>
      </c>
      <c r="I20" s="3318"/>
      <c r="J20" s="3327"/>
    </row>
    <row r="21" spans="4:10" ht="14.25" thickBot="1">
      <c r="D21" s="3339"/>
      <c r="E21" s="3319"/>
      <c r="F21" s="3343"/>
      <c r="G21" s="2947" t="s">
        <v>3077</v>
      </c>
      <c r="H21" s="2948">
        <v>52.86</v>
      </c>
      <c r="I21" s="3319"/>
      <c r="J21" s="3328"/>
    </row>
    <row r="22" spans="4:10">
      <c r="D22" s="3337">
        <v>3</v>
      </c>
      <c r="E22" s="3337" t="s">
        <v>3094</v>
      </c>
      <c r="F22" s="2951" t="s">
        <v>3095</v>
      </c>
      <c r="G22" s="2951">
        <v>101</v>
      </c>
      <c r="H22" s="2951">
        <v>20803.14</v>
      </c>
      <c r="I22" s="3340">
        <v>75088.649999999994</v>
      </c>
      <c r="J22" s="3340" t="s">
        <v>3096</v>
      </c>
    </row>
    <row r="23" spans="4:10">
      <c r="D23" s="3338"/>
      <c r="E23" s="3338"/>
      <c r="F23" s="2952" t="s">
        <v>3097</v>
      </c>
      <c r="G23" s="2952">
        <v>201</v>
      </c>
      <c r="H23" s="2952">
        <v>20348.11</v>
      </c>
      <c r="I23" s="3318"/>
      <c r="J23" s="3318"/>
    </row>
    <row r="24" spans="4:10">
      <c r="D24" s="3338"/>
      <c r="E24" s="3338"/>
      <c r="F24" s="2952" t="s">
        <v>3098</v>
      </c>
      <c r="G24" s="2952">
        <v>301</v>
      </c>
      <c r="H24" s="2952">
        <v>20742.52</v>
      </c>
      <c r="I24" s="3318"/>
      <c r="J24" s="3318"/>
    </row>
    <row r="25" spans="4:10">
      <c r="D25" s="3338"/>
      <c r="E25" s="3338"/>
      <c r="F25" s="2952" t="s">
        <v>3099</v>
      </c>
      <c r="G25" s="2952">
        <v>501</v>
      </c>
      <c r="H25" s="2952">
        <v>12538.68</v>
      </c>
      <c r="I25" s="3318"/>
      <c r="J25" s="3318"/>
    </row>
    <row r="26" spans="4:10" ht="14.25" thickBot="1">
      <c r="D26" s="3339"/>
      <c r="E26" s="3339"/>
      <c r="F26" s="2953" t="s">
        <v>3100</v>
      </c>
      <c r="G26" s="2953">
        <v>601</v>
      </c>
      <c r="H26" s="2953">
        <v>656.2</v>
      </c>
      <c r="I26" s="3319"/>
      <c r="J26" s="3319"/>
    </row>
    <row r="27" spans="4:10" ht="14.25" thickBot="1">
      <c r="D27" s="3329"/>
      <c r="E27" s="3330"/>
      <c r="F27" s="3330"/>
      <c r="G27" s="3330"/>
      <c r="H27" s="3330"/>
      <c r="I27" s="3330"/>
      <c r="J27" s="3331"/>
    </row>
    <row r="28" spans="4:10">
      <c r="D28" s="3332" t="s">
        <v>3101</v>
      </c>
      <c r="E28" s="3333"/>
      <c r="F28" s="3334"/>
      <c r="G28" s="3335"/>
      <c r="H28" s="3336"/>
      <c r="I28" s="2954">
        <v>120487.72</v>
      </c>
      <c r="J28" s="2955"/>
    </row>
    <row r="32" spans="4:10">
      <c r="G32" s="2927" t="s">
        <v>3102</v>
      </c>
      <c r="H32">
        <f>H22+H23+H24+H25+H26</f>
        <v>75088.650000000009</v>
      </c>
    </row>
    <row r="33" spans="6:11">
      <c r="G33" s="2927" t="s">
        <v>3103</v>
      </c>
      <c r="H33">
        <f>H14</f>
        <v>25161.47</v>
      </c>
    </row>
    <row r="34" spans="6:11">
      <c r="G34" s="2927" t="s">
        <v>3104</v>
      </c>
      <c r="H34">
        <f>H15+H12</f>
        <v>17186.37</v>
      </c>
    </row>
    <row r="35" spans="6:11">
      <c r="G35" s="2927" t="s">
        <v>3105</v>
      </c>
      <c r="H35">
        <f>I6+I14-H34-H14</f>
        <v>3051.2299999999996</v>
      </c>
    </row>
    <row r="37" spans="6:11">
      <c r="G37" s="2927" t="s">
        <v>3120</v>
      </c>
      <c r="H37" s="2927" t="s">
        <v>3119</v>
      </c>
    </row>
    <row r="38" spans="6:11">
      <c r="G38" s="2927" t="s">
        <v>3118</v>
      </c>
      <c r="H38">
        <f>H39*J38</f>
        <v>3</v>
      </c>
      <c r="I38">
        <f>H38*H33</f>
        <v>75484.41</v>
      </c>
      <c r="J38">
        <v>0.2</v>
      </c>
    </row>
    <row r="39" spans="6:11">
      <c r="G39" s="2927" t="s">
        <v>3116</v>
      </c>
      <c r="H39">
        <v>15</v>
      </c>
      <c r="I39">
        <f>H39*H22</f>
        <v>312047.09999999998</v>
      </c>
    </row>
    <row r="40" spans="6:11">
      <c r="G40" s="2927" t="s">
        <v>3117</v>
      </c>
      <c r="H40">
        <f>H39*J40</f>
        <v>10.5</v>
      </c>
      <c r="I40">
        <f t="shared" ref="I40:I42" si="0">H40*H23</f>
        <v>213655.155</v>
      </c>
      <c r="J40">
        <v>0.7</v>
      </c>
    </row>
    <row r="41" spans="6:11">
      <c r="G41" s="2927" t="s">
        <v>3045</v>
      </c>
      <c r="H41">
        <f>H39*J41</f>
        <v>7.5</v>
      </c>
      <c r="I41">
        <f t="shared" si="0"/>
        <v>155568.9</v>
      </c>
      <c r="J41">
        <v>0.5</v>
      </c>
    </row>
    <row r="42" spans="6:11">
      <c r="G42" s="2927" t="s">
        <v>3046</v>
      </c>
      <c r="H42">
        <f>H39*J42</f>
        <v>6</v>
      </c>
      <c r="I42">
        <f t="shared" si="0"/>
        <v>75232.08</v>
      </c>
      <c r="J42">
        <v>0.4</v>
      </c>
    </row>
    <row r="43" spans="6:11">
      <c r="G43" s="2927" t="s">
        <v>3047</v>
      </c>
      <c r="H43">
        <f>H39*J43</f>
        <v>5.25</v>
      </c>
      <c r="I43">
        <f>H43*H26</f>
        <v>3445.05</v>
      </c>
      <c r="J43">
        <v>0.35</v>
      </c>
    </row>
    <row r="44" spans="6:11">
      <c r="H44">
        <f>I44/'数据-汇总表'!E19</f>
        <v>25.30383540732462</v>
      </c>
      <c r="I44">
        <f>SUM(I38:I43)</f>
        <v>835432.69500000007</v>
      </c>
    </row>
    <row r="48" spans="6:11">
      <c r="F48" s="2929" t="s">
        <v>3124</v>
      </c>
      <c r="G48" s="2959" t="s">
        <v>3121</v>
      </c>
      <c r="H48" s="2959" t="s">
        <v>3122</v>
      </c>
      <c r="I48" s="2959" t="s">
        <v>3125</v>
      </c>
      <c r="K48" s="2927"/>
    </row>
    <row r="49" spans="5:13">
      <c r="E49" s="2927" t="s">
        <v>3118</v>
      </c>
      <c r="F49" s="2928">
        <f>H33</f>
        <v>25161.47</v>
      </c>
      <c r="G49" s="2959" t="s">
        <v>3118</v>
      </c>
      <c r="H49" s="2960">
        <f>[1]Sheet1!$K$120</f>
        <v>2.4899432176535106</v>
      </c>
      <c r="I49" s="2960">
        <f>[1]Sheet1!$B$118</f>
        <v>20490</v>
      </c>
      <c r="J49">
        <f>I49*H49</f>
        <v>51018.936529720435</v>
      </c>
      <c r="M49" s="2960">
        <f>H38</f>
        <v>3</v>
      </c>
    </row>
    <row r="50" spans="5:13">
      <c r="E50" s="2927" t="s">
        <v>3116</v>
      </c>
      <c r="F50" s="2928">
        <f>H22</f>
        <v>20803.14</v>
      </c>
      <c r="G50" s="2959" t="s">
        <v>3116</v>
      </c>
      <c r="H50" s="2960">
        <f>[1]Sheet1!$K$104</f>
        <v>21.310309279289779</v>
      </c>
      <c r="I50" s="2960">
        <f>[1]Sheet1!$B$102</f>
        <v>1261.1300000000001</v>
      </c>
      <c r="J50">
        <f t="shared" ref="J50:J53" si="1">I50*H50</f>
        <v>26875.070341390721</v>
      </c>
      <c r="M50" s="2960">
        <f t="shared" ref="M50:M54" si="2">H39</f>
        <v>15</v>
      </c>
    </row>
    <row r="51" spans="5:13">
      <c r="E51" s="2927" t="s">
        <v>3117</v>
      </c>
      <c r="F51" s="2928">
        <f>H23</f>
        <v>20348.11</v>
      </c>
      <c r="G51" s="2959" t="s">
        <v>3117</v>
      </c>
      <c r="H51" s="2960">
        <f>[1]Sheet1!$K$108</f>
        <v>13.964411932882605</v>
      </c>
      <c r="I51" s="2960">
        <v>4850.72</v>
      </c>
      <c r="J51">
        <f t="shared" si="1"/>
        <v>67737.452251072318</v>
      </c>
      <c r="M51" s="2960">
        <f t="shared" si="2"/>
        <v>10.5</v>
      </c>
    </row>
    <row r="52" spans="5:13">
      <c r="E52" s="2927" t="s">
        <v>3045</v>
      </c>
      <c r="F52" s="2928">
        <f>H24</f>
        <v>20742.52</v>
      </c>
      <c r="G52" s="2959" t="s">
        <v>3045</v>
      </c>
      <c r="H52" s="2960">
        <f>[1]Sheet1!$K$112</f>
        <v>6.6251599245882495</v>
      </c>
      <c r="I52" s="2960">
        <f>[2]Sheet1!$B$110</f>
        <v>2979.2</v>
      </c>
      <c r="J52">
        <f t="shared" si="1"/>
        <v>19737.676447333313</v>
      </c>
      <c r="M52" s="2960">
        <f t="shared" si="2"/>
        <v>7.5</v>
      </c>
    </row>
    <row r="53" spans="5:13">
      <c r="E53" s="2927" t="s">
        <v>3046</v>
      </c>
      <c r="F53" s="2928">
        <f>H25</f>
        <v>12538.68</v>
      </c>
      <c r="G53" s="2959" t="s">
        <v>3046</v>
      </c>
      <c r="H53" s="2960">
        <f>[1]Sheet1!$K$116</f>
        <v>3.3896201753586821</v>
      </c>
      <c r="I53" s="2960">
        <f>[1]Sheet1!$B$114</f>
        <v>3435</v>
      </c>
      <c r="J53">
        <f t="shared" si="1"/>
        <v>11643.345302357073</v>
      </c>
      <c r="M53" s="2960">
        <f t="shared" si="2"/>
        <v>6</v>
      </c>
    </row>
    <row r="54" spans="5:13">
      <c r="E54" s="2927" t="s">
        <v>3047</v>
      </c>
      <c r="F54" s="2928">
        <f>H26</f>
        <v>656.2</v>
      </c>
      <c r="G54" s="2959" t="s">
        <v>3047</v>
      </c>
      <c r="H54" s="2960"/>
      <c r="I54" s="2960"/>
      <c r="M54" s="2960">
        <f t="shared" si="2"/>
        <v>5.25</v>
      </c>
    </row>
    <row r="55" spans="5:13">
      <c r="F55" s="2928">
        <f>SUM(F49:F54)</f>
        <v>100250.12000000001</v>
      </c>
      <c r="I55">
        <f>I49+I50+I51+I52+I53</f>
        <v>33016.050000000003</v>
      </c>
      <c r="J55">
        <f>J49+J50+J51+J52+J53</f>
        <v>177012.48087187385</v>
      </c>
      <c r="K55">
        <f>J55/I55</f>
        <v>5.3614069784808853</v>
      </c>
    </row>
    <row r="56" spans="5:13">
      <c r="M56">
        <f>F49*M49+F50*M50+F51*M51+F52*M52+F53*M53+F54+M54</f>
        <v>832649.09499999997</v>
      </c>
    </row>
    <row r="57" spans="5:13">
      <c r="M57">
        <f>M56/F55</f>
        <v>8.3057166914114404</v>
      </c>
    </row>
    <row r="58" spans="5:13">
      <c r="G58" s="2959" t="s">
        <v>3123</v>
      </c>
      <c r="H58" s="2959" t="s">
        <v>3122</v>
      </c>
      <c r="I58" s="2960"/>
      <c r="M58">
        <f>M57/M50</f>
        <v>0.55371444609409604</v>
      </c>
    </row>
    <row r="59" spans="5:13">
      <c r="G59" s="2959" t="s">
        <v>3118</v>
      </c>
      <c r="H59" s="2960">
        <v>4</v>
      </c>
      <c r="I59" s="2960">
        <v>20490</v>
      </c>
      <c r="J59">
        <f>I59*H59</f>
        <v>81960</v>
      </c>
    </row>
    <row r="60" spans="5:13">
      <c r="G60" s="2959" t="s">
        <v>3116</v>
      </c>
      <c r="H60" s="2960">
        <v>20</v>
      </c>
      <c r="I60" s="2960">
        <v>1261.1300000000001</v>
      </c>
      <c r="J60">
        <f t="shared" ref="J60:J64" si="3">I60*H60</f>
        <v>25222.600000000002</v>
      </c>
    </row>
    <row r="61" spans="5:13">
      <c r="G61" s="2959" t="s">
        <v>3117</v>
      </c>
      <c r="H61" s="2960">
        <v>14</v>
      </c>
      <c r="I61" s="2960">
        <f>I51</f>
        <v>4850.72</v>
      </c>
      <c r="J61">
        <f t="shared" si="3"/>
        <v>67910.080000000002</v>
      </c>
    </row>
    <row r="62" spans="5:13">
      <c r="G62" s="2959" t="s">
        <v>3045</v>
      </c>
      <c r="H62" s="2960">
        <v>8</v>
      </c>
      <c r="I62" s="2960">
        <f>I52</f>
        <v>2979.2</v>
      </c>
      <c r="J62">
        <f t="shared" si="3"/>
        <v>23833.599999999999</v>
      </c>
    </row>
    <row r="63" spans="5:13">
      <c r="G63" s="2959" t="s">
        <v>3046</v>
      </c>
      <c r="H63" s="2960">
        <v>6</v>
      </c>
      <c r="I63" s="2960">
        <v>3435</v>
      </c>
      <c r="J63">
        <f t="shared" si="3"/>
        <v>20610</v>
      </c>
    </row>
    <row r="64" spans="5:13">
      <c r="G64" s="2959" t="s">
        <v>3047</v>
      </c>
      <c r="H64" s="2960">
        <v>5</v>
      </c>
      <c r="I64" s="2960"/>
      <c r="J64">
        <f t="shared" si="3"/>
        <v>0</v>
      </c>
    </row>
    <row r="65" spans="7:11">
      <c r="I65">
        <f>I59+I60+I61+I62+I63</f>
        <v>33016.050000000003</v>
      </c>
      <c r="J65">
        <f>J59+J60+J61+J62+J63</f>
        <v>219536.28</v>
      </c>
      <c r="K65">
        <f>J65/I65</f>
        <v>6.6493805285611085</v>
      </c>
    </row>
    <row r="68" spans="7:11">
      <c r="G68" s="2959" t="s">
        <v>3126</v>
      </c>
      <c r="H68" s="2960"/>
      <c r="I68" s="2960"/>
    </row>
    <row r="69" spans="7:11">
      <c r="G69" s="2959" t="s">
        <v>3118</v>
      </c>
      <c r="H69" s="2960">
        <f>H38</f>
        <v>3</v>
      </c>
      <c r="I69" s="2960">
        <f>F49-I49</f>
        <v>4671.4700000000012</v>
      </c>
      <c r="J69">
        <f>I69*H69</f>
        <v>14014.410000000003</v>
      </c>
    </row>
    <row r="70" spans="7:11">
      <c r="G70" s="2959" t="s">
        <v>3116</v>
      </c>
      <c r="H70" s="2960">
        <f>H39</f>
        <v>15</v>
      </c>
      <c r="I70" s="2960">
        <f t="shared" ref="I70:I74" si="4">F50-I50</f>
        <v>19542.009999999998</v>
      </c>
      <c r="J70">
        <f t="shared" ref="J70:J73" si="5">I70*H70</f>
        <v>293130.14999999997</v>
      </c>
    </row>
    <row r="71" spans="7:11">
      <c r="G71" s="2959" t="s">
        <v>3117</v>
      </c>
      <c r="H71" s="2960">
        <f t="shared" ref="H71:H74" si="6">H40</f>
        <v>10.5</v>
      </c>
      <c r="I71" s="2960">
        <f t="shared" si="4"/>
        <v>15497.39</v>
      </c>
      <c r="J71">
        <f t="shared" si="5"/>
        <v>162722.595</v>
      </c>
    </row>
    <row r="72" spans="7:11">
      <c r="G72" s="2959" t="s">
        <v>3045</v>
      </c>
      <c r="H72" s="2960">
        <f t="shared" si="6"/>
        <v>7.5</v>
      </c>
      <c r="I72" s="2960">
        <f t="shared" si="4"/>
        <v>17763.32</v>
      </c>
      <c r="J72">
        <f t="shared" si="5"/>
        <v>133224.9</v>
      </c>
    </row>
    <row r="73" spans="7:11">
      <c r="G73" s="2959" t="s">
        <v>3046</v>
      </c>
      <c r="H73" s="2960">
        <f t="shared" si="6"/>
        <v>6</v>
      </c>
      <c r="I73" s="2960">
        <f t="shared" si="4"/>
        <v>9103.68</v>
      </c>
      <c r="J73">
        <f t="shared" si="5"/>
        <v>54622.080000000002</v>
      </c>
    </row>
    <row r="74" spans="7:11">
      <c r="G74" s="2959" t="s">
        <v>3047</v>
      </c>
      <c r="H74" s="2960">
        <f t="shared" si="6"/>
        <v>5.25</v>
      </c>
      <c r="I74" s="2960">
        <f t="shared" si="4"/>
        <v>656.2</v>
      </c>
      <c r="J74">
        <f>I74*H74</f>
        <v>3445.05</v>
      </c>
    </row>
    <row r="75" spans="7:11">
      <c r="I75">
        <f>I69+I70+I71+I72+I73+I74</f>
        <v>67234.069999999992</v>
      </c>
      <c r="J75">
        <f>J69+J70+J71+J72+J73+J74</f>
        <v>661159.18499999994</v>
      </c>
      <c r="K75">
        <f>J75/I75</f>
        <v>9.8336927245368315</v>
      </c>
    </row>
    <row r="78" spans="7:11">
      <c r="K78">
        <f>K75/H70</f>
        <v>0.65557951496912215</v>
      </c>
    </row>
  </sheetData>
  <mergeCells count="18">
    <mergeCell ref="D27:J27"/>
    <mergeCell ref="D28:F28"/>
    <mergeCell ref="G28:H28"/>
    <mergeCell ref="D14:D21"/>
    <mergeCell ref="E14:E21"/>
    <mergeCell ref="F14:F21"/>
    <mergeCell ref="I14:I21"/>
    <mergeCell ref="J14:J21"/>
    <mergeCell ref="D22:D26"/>
    <mergeCell ref="E22:E26"/>
    <mergeCell ref="I22:I26"/>
    <mergeCell ref="J22:J26"/>
    <mergeCell ref="D4:J4"/>
    <mergeCell ref="D6:D13"/>
    <mergeCell ref="E6:E13"/>
    <mergeCell ref="F6:F13"/>
    <mergeCell ref="I6:I13"/>
    <mergeCell ref="J6:J13"/>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27"/>
  <sheetViews>
    <sheetView topLeftCell="B1" workbookViewId="0">
      <selection activeCell="N22" sqref="N22"/>
    </sheetView>
  </sheetViews>
  <sheetFormatPr defaultRowHeight="13.5"/>
  <cols>
    <col min="3" max="3" width="10.375" customWidth="1"/>
    <col min="7" max="7" width="11" customWidth="1"/>
    <col min="8" max="8" width="11.875" customWidth="1"/>
    <col min="9" max="9" width="19.5" customWidth="1"/>
    <col min="13" max="15" width="13.125" customWidth="1"/>
    <col min="16" max="16" width="11.75" customWidth="1"/>
  </cols>
  <sheetData>
    <row r="2" spans="3:20">
      <c r="C2" s="2930" t="s">
        <v>3007</v>
      </c>
    </row>
    <row r="3" spans="3:20">
      <c r="C3" s="2927" t="s">
        <v>3043</v>
      </c>
      <c r="D3">
        <v>50000</v>
      </c>
      <c r="I3" s="2927" t="s">
        <v>3048</v>
      </c>
    </row>
    <row r="4" spans="3:20">
      <c r="C4" s="2927" t="s">
        <v>3044</v>
      </c>
      <c r="D4">
        <f>D3*0.7</f>
        <v>35000</v>
      </c>
      <c r="G4" s="2929" t="s">
        <v>3007</v>
      </c>
      <c r="I4">
        <f>I9*100000000/J9</f>
        <v>24084.627027384686</v>
      </c>
    </row>
    <row r="5" spans="3:20">
      <c r="C5" s="2927" t="s">
        <v>3045</v>
      </c>
      <c r="D5">
        <f>D3*0.5</f>
        <v>25000</v>
      </c>
      <c r="G5" s="2929" t="s">
        <v>3008</v>
      </c>
      <c r="I5">
        <f>I10*100000000/J10</f>
        <v>23150.110279132885</v>
      </c>
    </row>
    <row r="6" spans="3:20">
      <c r="C6" s="2927" t="s">
        <v>3046</v>
      </c>
      <c r="D6">
        <f>D3*0.4</f>
        <v>20000</v>
      </c>
    </row>
    <row r="7" spans="3:20">
      <c r="C7" s="2927" t="s">
        <v>3047</v>
      </c>
      <c r="D7">
        <f>D3*0.35</f>
        <v>17500</v>
      </c>
    </row>
    <row r="8" spans="3:20">
      <c r="D8">
        <f>AVERAGE(D3:D7)</f>
        <v>29500</v>
      </c>
      <c r="G8" s="2928"/>
      <c r="H8" s="2929" t="s">
        <v>3006</v>
      </c>
      <c r="I8" s="2929" t="s">
        <v>3009</v>
      </c>
      <c r="J8" s="2929" t="s">
        <v>3010</v>
      </c>
      <c r="K8" s="2929" t="s">
        <v>3011</v>
      </c>
      <c r="L8" s="2929" t="s">
        <v>3012</v>
      </c>
      <c r="M8" s="2929" t="s">
        <v>3014</v>
      </c>
      <c r="N8" s="2929" t="s">
        <v>3015</v>
      </c>
      <c r="O8" s="2929" t="s">
        <v>3016</v>
      </c>
      <c r="P8" s="2929" t="s">
        <v>3049</v>
      </c>
      <c r="Q8" s="2929" t="s">
        <v>3040</v>
      </c>
      <c r="R8" s="2929" t="s">
        <v>3051</v>
      </c>
    </row>
    <row r="9" spans="3:20">
      <c r="D9" s="2927"/>
      <c r="G9" s="2929" t="s">
        <v>3007</v>
      </c>
      <c r="H9" s="2928">
        <v>2015.5</v>
      </c>
      <c r="I9" s="2928">
        <v>29.12</v>
      </c>
      <c r="J9" s="2928">
        <v>120907</v>
      </c>
      <c r="K9" s="2928">
        <v>87472</v>
      </c>
      <c r="L9" s="2929" t="s">
        <v>3013</v>
      </c>
      <c r="M9" s="2928">
        <v>18242</v>
      </c>
      <c r="N9" s="2928">
        <v>16942</v>
      </c>
      <c r="O9" s="2928">
        <v>11195</v>
      </c>
      <c r="P9" s="2928">
        <v>50000</v>
      </c>
      <c r="Q9" s="2928">
        <v>40000</v>
      </c>
      <c r="R9" s="2928">
        <v>5.5</v>
      </c>
      <c r="T9" s="2928">
        <v>29.7</v>
      </c>
    </row>
    <row r="10" spans="3:20">
      <c r="G10" s="2929" t="s">
        <v>3008</v>
      </c>
      <c r="H10" s="2928">
        <v>2008.12</v>
      </c>
      <c r="I10" s="2928">
        <v>29.66</v>
      </c>
      <c r="J10" s="2928">
        <v>128120.34</v>
      </c>
      <c r="K10" s="2928">
        <v>83436.83</v>
      </c>
      <c r="L10" s="2929" t="s">
        <v>3013</v>
      </c>
      <c r="M10" s="2928">
        <v>10763</v>
      </c>
      <c r="N10" s="2928">
        <v>10907</v>
      </c>
      <c r="O10" s="2928">
        <v>9940</v>
      </c>
      <c r="P10" s="2928">
        <v>40000</v>
      </c>
      <c r="Q10" s="2928">
        <v>28000</v>
      </c>
      <c r="R10" s="2928">
        <v>3.2</v>
      </c>
    </row>
    <row r="13" spans="3:20">
      <c r="C13" s="2930" t="s">
        <v>3008</v>
      </c>
      <c r="M13" s="2929" t="s">
        <v>3014</v>
      </c>
      <c r="N13" s="2929" t="s">
        <v>3015</v>
      </c>
      <c r="O13" s="2929" t="s">
        <v>3016</v>
      </c>
    </row>
    <row r="14" spans="3:20">
      <c r="C14" s="2927" t="s">
        <v>3043</v>
      </c>
      <c r="D14">
        <v>40000</v>
      </c>
      <c r="L14" s="2929" t="s">
        <v>3007</v>
      </c>
      <c r="M14">
        <f>M9/J9/365*10000</f>
        <v>4.1335970780666811</v>
      </c>
      <c r="N14">
        <f>N9/J9/365*10000</f>
        <v>3.8390199373207827</v>
      </c>
      <c r="O14">
        <f>O9/J9/365*10000</f>
        <v>2.5367623774233361</v>
      </c>
      <c r="P14">
        <f>M14/N14</f>
        <v>1.0767323810648093</v>
      </c>
    </row>
    <row r="15" spans="3:20">
      <c r="C15" s="2927" t="s">
        <v>3044</v>
      </c>
      <c r="D15">
        <f>D14*0.7</f>
        <v>28000</v>
      </c>
      <c r="L15" s="2929" t="s">
        <v>3008</v>
      </c>
      <c r="M15">
        <f>M10/J10/365*10000</f>
        <v>2.301560488590392</v>
      </c>
      <c r="N15">
        <f>N10/J10/365*10000</f>
        <v>2.3323534561976591</v>
      </c>
      <c r="O15">
        <f>O10/J10/365*10000</f>
        <v>2.1255701251127466</v>
      </c>
      <c r="P15">
        <f>M15/N15</f>
        <v>0.98679746951499037</v>
      </c>
    </row>
    <row r="16" spans="3:20">
      <c r="C16" s="2927" t="s">
        <v>3045</v>
      </c>
      <c r="D16">
        <f>D14*0.5</f>
        <v>20000</v>
      </c>
    </row>
    <row r="17" spans="4:10">
      <c r="D17">
        <f>AVERAGE(D14:D16)</f>
        <v>29333.333333333332</v>
      </c>
    </row>
    <row r="22" spans="4:10">
      <c r="G22" s="3345" t="s">
        <v>3050</v>
      </c>
      <c r="H22" s="3345"/>
      <c r="I22" s="3345"/>
      <c r="J22" s="3345"/>
    </row>
    <row r="23" spans="4:10">
      <c r="G23" s="3345"/>
      <c r="H23" s="3345"/>
      <c r="I23" s="3345"/>
      <c r="J23" s="3345"/>
    </row>
    <row r="24" spans="4:10">
      <c r="G24" s="3345"/>
      <c r="H24" s="3345"/>
      <c r="I24" s="3345"/>
      <c r="J24" s="3345"/>
    </row>
    <row r="25" spans="4:10">
      <c r="G25" s="3345"/>
      <c r="H25" s="3345"/>
      <c r="I25" s="3345"/>
      <c r="J25" s="3345"/>
    </row>
    <row r="26" spans="4:10">
      <c r="G26" s="3345"/>
      <c r="H26" s="3345"/>
      <c r="I26" s="3345"/>
      <c r="J26" s="3345"/>
    </row>
    <row r="27" spans="4:10">
      <c r="G27" s="3345"/>
      <c r="H27" s="3345"/>
      <c r="I27" s="3345"/>
      <c r="J27" s="3345"/>
    </row>
  </sheetData>
  <mergeCells count="1">
    <mergeCell ref="G22:J2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1640</v>
      </c>
      <c r="B2" s="3001" t="s">
        <v>1641</v>
      </c>
      <c r="C2" s="3001" t="s">
        <v>1642</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1" t="s">
        <v>1637</v>
      </c>
      <c r="E3" s="1041" t="s">
        <v>1643</v>
      </c>
      <c r="F3" s="1041" t="s">
        <v>1637</v>
      </c>
      <c r="G3" s="1041" t="s">
        <v>1638</v>
      </c>
      <c r="H3" s="1041" t="s">
        <v>1637</v>
      </c>
      <c r="I3" s="1041" t="s">
        <v>1638</v>
      </c>
    </row>
    <row r="4" spans="1:9" ht="30">
      <c r="A4" s="1970" t="str">
        <f>项目基本情况!S2</f>
        <v>北京市石景山区石景山路乙18号院4号楼房地产</v>
      </c>
      <c r="B4" s="1041">
        <f>项目基本情况!C17</f>
        <v>120487.72</v>
      </c>
      <c r="C4" s="1041">
        <f>项目基本情况!C18</f>
        <v>22271.54</v>
      </c>
      <c r="D4" s="1041" t="e">
        <f ca="1">结果表!D118</f>
        <v>#REF!</v>
      </c>
      <c r="E4" s="1041" t="e">
        <f ca="1">结果表!E118</f>
        <v>#REF!</v>
      </c>
      <c r="F4" s="1041" t="e">
        <f ca="1">结果表!F118</f>
        <v>#REF!</v>
      </c>
      <c r="G4" s="1041" t="e">
        <f ca="1">结果表!G118</f>
        <v>#REF!</v>
      </c>
      <c r="H4" s="1041">
        <f ca="1">结果表!H118</f>
        <v>455895</v>
      </c>
      <c r="I4" s="1041">
        <f ca="1">结果表!I118</f>
        <v>37837</v>
      </c>
    </row>
    <row r="5" spans="1:9" ht="30" customHeight="1">
      <c r="A5" s="3002" t="s">
        <v>1639</v>
      </c>
      <c r="B5" s="3002"/>
      <c r="C5" s="3002"/>
      <c r="D5" s="3003" t="e">
        <f ca="1">结果表!D119</f>
        <v>#REF!</v>
      </c>
      <c r="E5" s="3003"/>
      <c r="F5" s="3003" t="e">
        <f ca="1">结果表!F119</f>
        <v>#REF!</v>
      </c>
      <c r="G5" s="3003"/>
      <c r="H5" s="3003" t="str">
        <f ca="1">结果表!H119</f>
        <v>肆拾伍亿伍仟捌佰玖拾伍万元整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1639</v>
      </c>
      <c r="B7" s="3002"/>
      <c r="C7" s="3002"/>
      <c r="D7" s="3005" t="str">
        <f>结果表!D121</f>
        <v>零元整</v>
      </c>
      <c r="E7" s="3006"/>
      <c r="F7" s="3006"/>
      <c r="G7" s="3006"/>
      <c r="H7" s="3006"/>
      <c r="I7" s="3007"/>
    </row>
    <row r="8" spans="1:9" ht="15.75">
      <c r="A8" s="3004" t="str">
        <f>结果表!A122</f>
        <v/>
      </c>
      <c r="B8" s="3004"/>
      <c r="C8" s="3004"/>
      <c r="D8" s="3004" t="str">
        <f>结果表!D122</f>
        <v>——</v>
      </c>
      <c r="E8" s="3004"/>
      <c r="F8" s="3004"/>
      <c r="G8" s="3004"/>
      <c r="H8" s="3004"/>
      <c r="I8" s="3004"/>
    </row>
    <row r="9" spans="1:9" ht="15">
      <c r="A9" s="3002" t="s">
        <v>1639</v>
      </c>
      <c r="B9" s="3002"/>
      <c r="C9" s="3002"/>
      <c r="D9" s="3003" t="e">
        <f>结果表!D123</f>
        <v>#VALUE!</v>
      </c>
      <c r="E9" s="3003"/>
      <c r="F9" s="3003"/>
      <c r="G9" s="3003"/>
      <c r="H9" s="3003"/>
      <c r="I9" s="3003"/>
    </row>
    <row r="10" spans="1:9" ht="15.75">
      <c r="A10" s="3004" t="str">
        <f>结果表!A124</f>
        <v>抵押担保权已注销时的房地产抵押价值</v>
      </c>
      <c r="B10" s="3004"/>
      <c r="C10" s="3004"/>
      <c r="D10" s="3004">
        <f ca="1">结果表!D124</f>
        <v>455895</v>
      </c>
      <c r="E10" s="3004"/>
      <c r="F10" s="3004"/>
      <c r="G10" s="3004"/>
      <c r="H10" s="3004"/>
      <c r="I10" s="3004"/>
    </row>
    <row r="11" spans="1:9" ht="15">
      <c r="A11" s="3002" t="s">
        <v>1639</v>
      </c>
      <c r="B11" s="3002"/>
      <c r="C11" s="3002"/>
      <c r="D11" s="3003" t="str">
        <f ca="1">结果表!D125</f>
        <v>肆拾伍亿伍仟捌佰玖拾伍万元整</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1639</v>
      </c>
      <c r="B13" s="3008"/>
      <c r="C13" s="3008"/>
      <c r="D13" s="3009" t="e">
        <f>结果表!D127</f>
        <v>#VALUE!</v>
      </c>
      <c r="E13" s="3009"/>
      <c r="F13" s="3009"/>
      <c r="G13" s="3009"/>
      <c r="H13" s="3009"/>
      <c r="I13" s="3009"/>
    </row>
    <row r="14" spans="1:9" ht="15" thickTop="1">
      <c r="A14" s="3010" t="s">
        <v>1644</v>
      </c>
      <c r="B14" s="3010"/>
      <c r="C14" s="3010"/>
      <c r="D14" s="3010"/>
      <c r="E14" s="3010"/>
      <c r="F14" s="3010"/>
      <c r="G14" s="3010"/>
      <c r="H14" s="3010"/>
      <c r="I14" s="3010"/>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1" t="s">
        <v>1661</v>
      </c>
      <c r="B1" s="3011"/>
      <c r="C1" s="3011"/>
      <c r="D1" s="3011"/>
    </row>
    <row r="2" spans="1:4" ht="18">
      <c r="A2" s="3012" t="s">
        <v>1645</v>
      </c>
      <c r="B2" s="3012"/>
      <c r="C2" s="3012"/>
      <c r="D2" s="3012"/>
    </row>
    <row r="3" spans="1:4" ht="18.75">
      <c r="A3" s="1974" t="s">
        <v>1646</v>
      </c>
      <c r="B3" s="1974" t="s">
        <v>1647</v>
      </c>
      <c r="C3" s="1974" t="s">
        <v>1648</v>
      </c>
      <c r="D3" s="1974" t="s">
        <v>1649</v>
      </c>
    </row>
    <row r="4" spans="1:4" ht="56.25" customHeight="1">
      <c r="A4" s="1975" t="str">
        <f>项目基本情况!B4</f>
        <v>欧红伟</v>
      </c>
      <c r="B4" s="1976">
        <f ca="1">项目基本情况!C4</f>
        <v>1120000080</v>
      </c>
      <c r="C4" s="1977"/>
      <c r="D4" s="1978" t="s">
        <v>1650</v>
      </c>
    </row>
    <row r="5" spans="1:4" ht="56.25" customHeight="1">
      <c r="A5" s="1975" t="str">
        <f>项目基本情况!D4</f>
        <v>崔锴</v>
      </c>
      <c r="B5" s="1976">
        <f ca="1">项目基本情况!E4</f>
        <v>1120100036</v>
      </c>
      <c r="C5" s="1979"/>
      <c r="D5" s="1978" t="s">
        <v>1650</v>
      </c>
    </row>
    <row r="6" spans="1:4" ht="18">
      <c r="A6" s="3012" t="s">
        <v>1651</v>
      </c>
      <c r="B6" s="3012"/>
      <c r="C6" s="3012"/>
      <c r="D6" s="3012"/>
    </row>
    <row r="7" spans="1:4" ht="18.75">
      <c r="A7" s="1974" t="s">
        <v>1646</v>
      </c>
      <c r="B7" s="1976" t="s">
        <v>1652</v>
      </c>
      <c r="C7" s="1974" t="s">
        <v>1648</v>
      </c>
      <c r="D7" s="1974" t="s">
        <v>1649</v>
      </c>
    </row>
    <row r="8" spans="1:4" ht="56.25" customHeight="1">
      <c r="A8" s="1980" t="s">
        <v>869</v>
      </c>
      <c r="B8" s="1980" t="s">
        <v>1</v>
      </c>
      <c r="C8" s="1977"/>
      <c r="D8" s="1978" t="s">
        <v>1650</v>
      </c>
    </row>
    <row r="9" spans="1:4">
      <c r="A9" s="727"/>
      <c r="B9" s="727"/>
      <c r="C9" s="727"/>
      <c r="D9" s="727"/>
    </row>
    <row r="10" spans="1:4" ht="18.75">
      <c r="A10" s="1981" t="s">
        <v>1653</v>
      </c>
      <c r="B10" s="727"/>
      <c r="C10" s="727"/>
      <c r="D10" s="727"/>
    </row>
    <row r="11" spans="1:4" ht="30" customHeight="1">
      <c r="A11" s="3013" t="s">
        <v>1654</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（1）根据估价对象《房屋所有权证》复印件、《国有土地使用权》复印件，截至价值时点，估价对象抵押权未见登记。</v>
      </c>
      <c r="B15" s="3014"/>
      <c r="C15" s="3014"/>
      <c r="D15" s="3014"/>
    </row>
    <row r="16" spans="1:4" ht="30" customHeight="1">
      <c r="A16" s="3017" t="s">
        <v>1655</v>
      </c>
      <c r="B16" s="3017"/>
      <c r="C16" s="3017"/>
      <c r="D16" s="3017"/>
    </row>
    <row r="17" spans="1:4" ht="144" customHeight="1">
      <c r="A17" s="3017" t="s">
        <v>1656</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1657</v>
      </c>
      <c r="B22" s="3019"/>
      <c r="C22" s="3019"/>
      <c r="D22" s="3019"/>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5" t="s">
        <v>1668</v>
      </c>
      <c r="B15" s="3020" t="s">
        <v>136</v>
      </c>
      <c r="C15" s="3021"/>
    </row>
    <row r="16" spans="1:7" ht="13.5">
      <c r="A16" s="3026"/>
      <c r="B16" s="3020" t="s">
        <v>69</v>
      </c>
      <c r="C16" s="3021"/>
    </row>
    <row r="17" spans="1:3" ht="13.5">
      <c r="A17" s="3026"/>
      <c r="B17" s="3023" t="s">
        <v>1669</v>
      </c>
      <c r="C17" s="1997" t="s">
        <v>1668</v>
      </c>
    </row>
    <row r="18" spans="1:3" ht="13.5">
      <c r="A18" s="3026"/>
      <c r="B18" s="3023"/>
      <c r="C18" s="1997" t="s">
        <v>1670</v>
      </c>
    </row>
    <row r="19" spans="1:3" ht="13.5">
      <c r="A19" s="3026"/>
      <c r="B19" s="3023"/>
      <c r="C19" s="1997" t="s">
        <v>1671</v>
      </c>
    </row>
    <row r="20" spans="1:3" ht="13.5">
      <c r="A20" s="3027"/>
      <c r="B20" s="3022" t="s">
        <v>1672</v>
      </c>
      <c r="C20" s="3021"/>
    </row>
    <row r="21" spans="1:3" ht="13.5">
      <c r="A21" s="1998" t="s">
        <v>1673</v>
      </c>
      <c r="B21" s="1999"/>
      <c r="C21" s="2000"/>
    </row>
    <row r="22" spans="1:3" ht="13.5">
      <c r="A22" s="3024" t="s">
        <v>1674</v>
      </c>
      <c r="B22" s="3022" t="s">
        <v>1675</v>
      </c>
      <c r="C22" s="3021"/>
    </row>
    <row r="23" spans="1:3" ht="13.5">
      <c r="A23" s="3024"/>
      <c r="B23" s="3022" t="s">
        <v>1676</v>
      </c>
      <c r="C23" s="3021"/>
    </row>
    <row r="24" spans="1:3" ht="13.5">
      <c r="A24" s="3024"/>
      <c r="B24" s="3022" t="s">
        <v>1677</v>
      </c>
      <c r="C24" s="3021"/>
    </row>
    <row r="25" spans="1:3" ht="13.5">
      <c r="A25" s="3024"/>
      <c r="B25" s="3023" t="s">
        <v>1678</v>
      </c>
      <c r="C25" s="1997" t="s">
        <v>1679</v>
      </c>
    </row>
    <row r="26" spans="1:3" ht="13.5">
      <c r="A26" s="3024"/>
      <c r="B26" s="3023"/>
      <c r="C26" s="1997" t="s">
        <v>1680</v>
      </c>
    </row>
    <row r="27" spans="1:3" ht="13.5">
      <c r="A27" s="3024"/>
      <c r="B27" s="3023"/>
      <c r="C27" s="1997" t="s">
        <v>1681</v>
      </c>
    </row>
    <row r="28" spans="1:3" ht="13.5">
      <c r="A28" s="3024"/>
      <c r="B28" s="3023"/>
      <c r="C28" s="1997" t="s">
        <v>1682</v>
      </c>
    </row>
    <row r="29" spans="1:3" ht="13.5">
      <c r="A29" s="3024"/>
      <c r="B29" s="3023"/>
      <c r="C29" s="1997" t="s">
        <v>1683</v>
      </c>
    </row>
    <row r="30" spans="1:3" ht="13.5">
      <c r="A30" s="3024"/>
      <c r="B30" s="3023"/>
      <c r="C30" s="1997" t="s">
        <v>1684</v>
      </c>
    </row>
    <row r="31" spans="1:3" ht="13.5">
      <c r="A31" s="3024"/>
      <c r="B31" s="3023"/>
      <c r="C31" s="1997" t="s">
        <v>1685</v>
      </c>
    </row>
    <row r="32" spans="1:3" ht="13.5">
      <c r="A32" s="3024"/>
      <c r="B32" s="3023"/>
      <c r="C32" s="1997" t="s">
        <v>1686</v>
      </c>
    </row>
    <row r="33" spans="1:3" ht="13.5">
      <c r="A33" s="3024"/>
      <c r="B33" s="3023"/>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43168</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c r="B12" s="1019"/>
      <c r="C12" s="2342"/>
      <c r="D12" s="2345"/>
      <c r="E12" s="1019"/>
      <c r="F12" s="1019"/>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1147</v>
      </c>
      <c r="B15" s="1019">
        <v>1120070085</v>
      </c>
      <c r="C15" s="2342">
        <v>43814</v>
      </c>
      <c r="D15" s="2346" t="s">
        <v>1147</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1331</v>
      </c>
      <c r="B24" s="1700" t="s">
        <v>1331</v>
      </c>
      <c r="C24" s="2343" t="s">
        <v>1331</v>
      </c>
      <c r="D24" s="2346" t="s">
        <v>1331</v>
      </c>
      <c r="E24" s="1700" t="s">
        <v>1331</v>
      </c>
      <c r="F24" s="1700" t="s">
        <v>1331</v>
      </c>
    </row>
    <row r="25" spans="1:7" ht="24" customHeight="1">
      <c r="A25" s="3028" t="s">
        <v>846</v>
      </c>
      <c r="B25" s="3028"/>
      <c r="C25" s="3028"/>
      <c r="D25" s="3028"/>
      <c r="E25" s="3028"/>
      <c r="F25" s="3028"/>
      <c r="G25" s="3028"/>
    </row>
    <row r="26" spans="1:7" s="1022" customFormat="1" ht="24" customHeight="1">
      <c r="A26" s="3029" t="s">
        <v>847</v>
      </c>
      <c r="B26" s="3029"/>
      <c r="C26" s="3030"/>
      <c r="D26" s="3031" t="s">
        <v>848</v>
      </c>
      <c r="E26" s="3029"/>
      <c r="F26" s="3029"/>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1382</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 (元)</vt:lpstr>
      <vt:lpstr>假设开发法</vt:lpstr>
      <vt:lpstr>成本法</vt:lpstr>
      <vt:lpstr>收益法（汇总）</vt:lpstr>
      <vt:lpstr>收益法租约商业</vt:lpstr>
      <vt:lpstr>收益法-办公</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收益法无租约商业</vt:lpstr>
      <vt:lpstr>收益法车库</vt:lpstr>
      <vt:lpstr>项目详细情况</vt:lpstr>
      <vt:lpstr>收益法租金</vt:lpstr>
      <vt:lpstr>估价师及机构信息!Print_Area</vt:lpstr>
      <vt:lpstr>'收益法-办公'!Print_Area</vt:lpstr>
      <vt:lpstr>收益法车库!Print_Area</vt:lpstr>
      <vt:lpstr>收益法无租约商业!Print_Area</vt:lpstr>
      <vt:lpstr>收益法租约商业!Print_Area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2018-03-09T08:28:35Z</dcterms:modified>
</cp:coreProperties>
</file>