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0" i="9" l="1"/>
  <c r="B40" i="9"/>
  <c r="D29" i="43"/>
  <c r="Y6" i="1" l="1"/>
  <c r="N6" i="1"/>
  <c r="F19" i="6"/>
  <c r="C11" i="4"/>
  <c r="D3" i="4"/>
  <c r="V6" i="71" l="1"/>
  <c r="U6" i="71"/>
  <c r="T6" i="71"/>
  <c r="S6" i="71"/>
  <c r="AH5" i="71"/>
  <c r="AG5" i="71"/>
  <c r="AF5" i="71"/>
  <c r="AE5" i="71"/>
  <c r="AD5" i="71"/>
  <c r="Q5" i="71"/>
  <c r="P5" i="71"/>
  <c r="O5" i="71"/>
  <c r="N5" i="71"/>
  <c r="L3" i="71" l="1"/>
  <c r="K3" i="71"/>
  <c r="I3" i="71"/>
  <c r="J3" i="71" l="1"/>
  <c r="AD6" i="71" l="1"/>
  <c r="AG6" i="71"/>
  <c r="AH6" i="71"/>
  <c r="AE6" i="71"/>
  <c r="AF6" i="71" s="1"/>
  <c r="N6" i="71"/>
  <c r="X5" i="71" s="1"/>
  <c r="Q6" i="71"/>
  <c r="AB5" i="71" s="1"/>
  <c r="P6" i="71"/>
  <c r="AA5" i="71" s="1"/>
  <c r="O6" i="71"/>
  <c r="Y5" i="71" s="1"/>
  <c r="Z5" i="71" s="1"/>
  <c r="C6" i="71" l="1"/>
  <c r="Q7" i="71"/>
  <c r="F7" i="71" s="1"/>
  <c r="F6" i="71" s="1"/>
  <c r="F5" i="71" s="1"/>
  <c r="P7" i="71"/>
  <c r="E7" i="71" s="1"/>
  <c r="E6" i="71" s="1"/>
  <c r="E5" i="71" s="1"/>
  <c r="O7" i="71"/>
  <c r="C7" i="71" s="1"/>
  <c r="D7" i="71" s="1"/>
  <c r="N7" i="71"/>
  <c r="B7" i="71" s="1"/>
  <c r="B6" i="71" s="1"/>
  <c r="B5" i="71" l="1"/>
  <c r="D6" i="71"/>
  <c r="C5" i="71"/>
  <c r="D5" i="71" s="1"/>
  <c r="AB6" i="71"/>
  <c r="Y6" i="71"/>
  <c r="Z6" i="71" s="1"/>
  <c r="X6" i="71"/>
  <c r="AA6" i="71"/>
  <c r="A2" i="53"/>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12" i="76"/>
  <c r="E7" i="76"/>
  <c r="E11" i="76"/>
  <c r="B13" i="76"/>
  <c r="B11" i="76"/>
  <c r="E13" i="76"/>
  <c r="B8" i="76"/>
  <c r="E8" i="76"/>
  <c r="B12" i="76"/>
  <c r="B10" i="76"/>
  <c r="B9" i="76"/>
  <c r="B7" i="76"/>
  <c r="E10" i="76"/>
  <c r="E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D6" i="73"/>
  <c r="F3" i="73"/>
  <c r="F5" i="73"/>
  <c r="D5" i="73"/>
  <c r="F4" i="73"/>
  <c r="F6" i="73"/>
  <c r="D3"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F37" i="71" s="1"/>
  <c r="F38" i="71" s="1"/>
  <c r="V38"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B12" i="71" l="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T10" i="71" l="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9" i="1"/>
  <c r="AO13" i="1"/>
  <c r="AO10" i="1"/>
  <c r="AO12"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6" i="43"/>
  <c r="D88" i="43"/>
  <c r="D81" i="43"/>
  <c r="D67" i="43"/>
  <c r="D60" i="43"/>
  <c r="D61" i="43"/>
  <c r="D62" i="43"/>
  <c r="D63" i="43"/>
  <c r="D64" i="43"/>
  <c r="D65" i="43"/>
  <c r="D66" i="43"/>
  <c r="D59" i="43"/>
  <c r="E59" i="43" s="1"/>
  <c r="B57" i="43" s="1"/>
  <c r="M88" i="43"/>
  <c r="N88" i="43"/>
  <c r="K88" i="43"/>
  <c r="J88" i="43"/>
  <c r="M87" i="43"/>
  <c r="N87" i="43" s="1"/>
  <c r="K87" i="43"/>
  <c r="D87" i="43" s="1"/>
  <c r="M86" i="43"/>
  <c r="N86" i="43"/>
  <c r="K86" i="43"/>
  <c r="J86" i="43"/>
  <c r="M85" i="43"/>
  <c r="N85" i="43" s="1"/>
  <c r="K85" i="43"/>
  <c r="J85" i="43" s="1"/>
  <c r="M84" i="43"/>
  <c r="N84" i="43"/>
  <c r="K84" i="43"/>
  <c r="J84" i="43"/>
  <c r="M83" i="43"/>
  <c r="N83" i="43" s="1"/>
  <c r="K83" i="43"/>
  <c r="J83" i="43" s="1"/>
  <c r="M82" i="43"/>
  <c r="N82" i="43"/>
  <c r="K82" i="43"/>
  <c r="J82" i="43"/>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49"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O9" i="1" s="1"/>
  <c r="P9" i="1" s="1"/>
  <c r="AE9" i="1"/>
  <c r="J87" i="43" l="1"/>
  <c r="D85" i="43"/>
  <c r="AZ15" i="3"/>
  <c r="BL15" i="3"/>
  <c r="BA18" i="3"/>
  <c r="AZ18" i="3" s="1"/>
  <c r="F29" i="6"/>
  <c r="H74" i="43"/>
  <c r="H48" i="43"/>
  <c r="H50" i="43"/>
  <c r="H75" i="43"/>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81" i="43" s="1"/>
  <c r="H85" i="43" s="1"/>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40" i="15"/>
  <c r="M24" i="15"/>
  <c r="C76" i="67"/>
  <c r="F7" i="15"/>
  <c r="M24" i="67"/>
  <c r="F6" i="67"/>
  <c r="M6" i="15"/>
  <c r="M23" i="15"/>
  <c r="M22" i="15"/>
  <c r="F8" i="67"/>
  <c r="M26" i="67"/>
  <c r="F38" i="15"/>
  <c r="F26" i="67"/>
  <c r="F42" i="15"/>
  <c r="M8" i="67"/>
  <c r="F13" i="67"/>
  <c r="M29" i="15"/>
  <c r="F9" i="15"/>
  <c r="M28" i="15"/>
  <c r="F36" i="15"/>
  <c r="M6" i="67"/>
  <c r="L47" i="15"/>
  <c r="L48" i="67"/>
  <c r="F37" i="67"/>
  <c r="F38" i="67"/>
  <c r="F9" i="67"/>
  <c r="L48" i="15"/>
  <c r="M9" i="15"/>
  <c r="M28" i="67"/>
  <c r="J15" i="67"/>
  <c r="F16" i="67"/>
  <c r="M8" i="15"/>
  <c r="F8" i="15"/>
  <c r="F43" i="15"/>
  <c r="C76" i="15"/>
  <c r="L47" i="67"/>
  <c r="M22" i="67"/>
  <c r="M26" i="15"/>
  <c r="F26" i="15"/>
  <c r="F16" i="15"/>
  <c r="M9" i="67"/>
  <c r="F13" i="15"/>
  <c r="M29" i="67"/>
  <c r="F42" i="67"/>
  <c r="F40" i="67"/>
  <c r="M23" i="67"/>
  <c r="F36" i="67"/>
  <c r="F37" i="15"/>
  <c r="F43" i="67"/>
  <c r="F7" i="67"/>
  <c r="F6" i="15"/>
  <c r="J15" i="15"/>
  <c r="G1" i="73"/>
  <c r="H81" i="43" l="1"/>
  <c r="H84" i="43"/>
  <c r="H83" i="43"/>
  <c r="H86" i="43"/>
  <c r="H87" i="43"/>
  <c r="H82" i="43"/>
  <c r="D22" i="43"/>
  <c r="E4" i="4"/>
  <c r="K4" i="4" s="1"/>
  <c r="B46" i="48" s="1"/>
  <c r="B4" i="72" s="1"/>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E66" i="39" s="1"/>
  <c r="T11" i="1"/>
  <c r="D9" i="69"/>
  <c r="C9" i="69" s="1"/>
  <c r="D19" i="12"/>
  <c r="C19" i="12" s="1"/>
  <c r="AQ9" i="1"/>
  <c r="AR11" i="1"/>
  <c r="E59" i="40"/>
  <c r="D68" i="39"/>
  <c r="D70" i="39"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S26"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15"/>
  <c r="F31" i="15"/>
  <c r="F59" i="67"/>
  <c r="M17" i="67"/>
  <c r="F59" i="15"/>
  <c r="F31" i="67"/>
  <c r="D9" i="68"/>
  <c r="C16" i="67"/>
  <c r="C16" i="15"/>
  <c r="C17" i="15"/>
  <c r="C9" i="68" l="1"/>
  <c r="C30" i="69"/>
  <c r="C48" i="68"/>
  <c r="S5" i="43"/>
  <c r="S7" i="43"/>
  <c r="S4" i="43"/>
  <c r="S6" i="43"/>
  <c r="S3" i="43"/>
  <c r="C23" i="43"/>
  <c r="C21" i="43" s="1"/>
  <c r="S2" i="43"/>
  <c r="T2" i="43" s="1"/>
  <c r="V2" i="43" s="1"/>
  <c r="M19" i="6"/>
  <c r="AR6" i="1"/>
  <c r="B5" i="62"/>
  <c r="B73"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F27" i="68"/>
  <c r="C29" i="68" l="1"/>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6" i="68"/>
  <c r="D10" i="68"/>
  <c r="C34" i="11" l="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C34" i="68"/>
  <c r="D31" i="6" l="1"/>
  <c r="I6" i="6" s="1"/>
  <c r="E2" i="76"/>
  <c r="B2" i="43"/>
  <c r="C6" i="68"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67"/>
  <c r="M21" i="15"/>
  <c r="F35" i="15"/>
  <c r="B6" i="76"/>
  <c r="C7" i="68" l="1"/>
  <c r="C5"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3" i="68" l="1"/>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67"/>
  <c r="M27" i="15"/>
  <c r="F41"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7" i="1"/>
  <c r="AO8" i="1"/>
  <c r="B8" i="70" l="1"/>
  <c r="B7" i="70"/>
  <c r="B6" i="70"/>
  <c r="C46" i="15"/>
  <c r="B2" i="69"/>
  <c r="B3" i="69" s="1"/>
  <c r="B2" i="68"/>
  <c r="B3" i="67"/>
  <c r="D2" i="37"/>
  <c r="D2" i="35"/>
  <c r="D2" i="36"/>
  <c r="D2" i="21"/>
  <c r="F20" i="31"/>
  <c r="D2" i="33"/>
  <c r="D2" i="34"/>
  <c r="C19" i="9"/>
  <c r="E2" i="68"/>
  <c r="B20" i="31" l="1"/>
  <c r="B2" i="36"/>
  <c r="B3" i="36" s="1"/>
  <c r="B2" i="35"/>
  <c r="B3" i="35" s="1"/>
  <c r="B2" i="37"/>
  <c r="B3" i="37" s="1"/>
  <c r="B2" i="34"/>
  <c r="B3" i="34" s="1"/>
  <c r="B2" i="21"/>
  <c r="B3" i="21" s="1"/>
  <c r="B2" i="70"/>
  <c r="B3" i="70" s="1"/>
  <c r="C102" i="9"/>
  <c r="C21" i="9"/>
  <c r="D20" i="9"/>
  <c r="B3" i="68"/>
  <c r="D19" i="9"/>
  <c r="C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J118" i="9" s="1"/>
  <c r="H118" i="9"/>
  <c r="C104" i="9" s="1"/>
  <c r="D119" i="9" l="1"/>
  <c r="D5" i="52" s="1"/>
  <c r="B49" i="72" s="1"/>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1" i="9" l="1"/>
  <c r="N60"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<sst xmlns="http://schemas.openxmlformats.org/spreadsheetml/2006/main" count="7297" uniqueCount="3077">
  <si>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</si>
  <si>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</si>
  <si>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</si>
  <si>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</si>
  <si>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</si>
  <si>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</si>
  <si>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</si>
  <si>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</si>
  <si>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</si>
  <si>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</si>
  <si>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</si>
  <si>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</si>
  <si>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</si>
  <si>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</si>
  <si>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</si>
  <si>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</si>
  <si>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</si>
  <si>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</si>
  <si>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</si>
  <si>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</si>
  <si>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</si>
  <si>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</si>
  <si>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</si>
  <si>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</si>
  <si>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</si>
  <si>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</si>
  <si>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</si>
  <si>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</si>
  <si>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</si>
  <si>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</si>
  <si>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</si>
  <si>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</si>
  <si>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</si>
  <si>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</si>
  <si>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</si>
  <si>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</si>
  <si>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</si>
  <si>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</si>
  <si>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</si>
  <si>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</si>
  <si>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</si>
  <si>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</si>
  <si>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</si>
  <si>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</si>
  <si>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</si>
  <si>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</si>
  <si>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</si>
  <si>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</si>
  <si>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</si>
  <si>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</si>
  <si>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</si>
  <si>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</si>
  <si>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</si>
  <si>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</si>
  <si>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</si>
  <si>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</si>
  <si>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</si>
  <si>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</si>
  <si>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</si>
  <si>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</si>
  <si>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</si>
  <si>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</si>
  <si>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</si>
  <si>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</si>
  <si>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</si>
  <si>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</si>
  <si>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</si>
  <si>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</si>
  <si>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</si>
  <si>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</si>
  <si>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</si>
  <si>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</si>
  <si>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</si>
  <si>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</si>
  <si>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</si>
  <si>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</si>
  <si>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</si>
  <si>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</si>
  <si>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</si>
  <si>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</si>
  <si>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</si>
  <si>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</si>
  <si>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</si>
  <si>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</si>
  <si>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</si>
  <si>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</si>
  <si>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</si>
  <si>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</si>
  <si>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</si>
  <si>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</si>
  <si>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</si>
  <si>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</si>
  <si>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</si>
  <si>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</si>
  <si>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</si>
  <si>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</si>
  <si>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</si>
  <si>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</si>
  <si>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</si>
  <si>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</si>
  <si>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</si>
  <si>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</si>
  <si>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</si>
  <si>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</si>
  <si>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</si>
  <si>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</si>
  <si>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</si>
  <si>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</si>
  <si>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</si>
  <si>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</si>
  <si>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</si>
  <si>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</si>
  <si>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</si>
  <si>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</si>
  <si>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</si>
  <si>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</si>
  <si>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</si>
  <si>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</si>
  <si>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</si>
  <si>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</si>
  <si>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</si>
  <si>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</si>
  <si>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</si>
  <si>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</si>
  <si>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</si>
  <si>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</si>
  <si>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</si>
  <si>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</si>
  <si>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</si>
  <si>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</si>
  <si>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</si>
  <si>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</si>
  <si>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</si>
  <si>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</si>
  <si>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</si>
  <si>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</si>
  <si>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</si>
  <si>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</si>
  <si>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</si>
  <si>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</si>
  <si>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</si>
  <si>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</si>
  <si>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</si>
  <si>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</si>
  <si>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</si>
  <si>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</si>
  <si>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</si>
  <si>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</si>
  <si>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</si>
  <si>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</si>
  <si>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</si>
  <si>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</si>
  <si>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</si>
  <si>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</si>
  <si>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</si>
  <si>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</si>
  <si>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</si>
  <si>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</si>
  <si>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</si>
  <si>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</si>
  <si>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</si>
  <si>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</si>
  <si>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</si>
  <si>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</si>
  <si>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</si>
  <si>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</si>
  <si>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</si>
  <si>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</si>
  <si>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</si>
  <si>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</si>
  <si>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</si>
  <si>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</si>
  <si>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</si>
  <si>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</si>
  <si>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</si>
  <si>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</si>
  <si>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</si>
  <si>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</si>
  <si>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</si>
  <si>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</si>
  <si>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</si>
  <si>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</si>
  <si>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</si>
  <si>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</si>
  <si>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</si>
  <si>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</si>
  <si>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</si>
  <si>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</si>
  <si>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</si>
  <si>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</si>
  <si>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</si>
  <si>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</si>
  <si>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</si>
  <si>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</si>
  <si>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</si>
  <si>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</si>
  <si>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</si>
  <si>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</si>
  <si>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</si>
  <si>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</si>
  <si>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</si>
  <si>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</si>
  <si>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</si>
  <si>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</si>
  <si>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</si>
  <si>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</si>
  <si>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</si>
  <si>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</si>
  <si>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</si>
  <si>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</si>
  <si>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</si>
  <si>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</si>
  <si>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</si>
  <si>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</si>
  <si>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</si>
  <si>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</si>
  <si>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</si>
  <si>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</si>
  <si>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</si>
  <si>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</si>
  <si>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</si>
  <si>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</si>
  <si>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</si>
  <si>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</si>
  <si>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</si>
  <si>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</si>
  <si>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</si>
  <si>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</si>
  <si>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</si>
  <si>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</si>
  <si>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</si>
  <si>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</si>
  <si>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</si>
  <si>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</si>
  <si>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</si>
  <si>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</si>
  <si>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</si>
  <si>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</si>
  <si>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</si>
  <si>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</si>
  <si>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</si>
  <si>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</si>
  <si>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</si>
  <si>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</si>
  <si>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</si>
  <si>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</si>
  <si>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</si>
  <si>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</si>
  <si>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</si>
  <si>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</si>
  <si>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</si>
  <si>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</si>
  <si>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</si>
  <si>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</si>
  <si>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</si>
  <si>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</si>
  <si>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</si>
  <si>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</si>
  <si>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</si>
  <si>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</si>
  <si>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</si>
  <si>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</si>
  <si>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</si>
  <si>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</si>
  <si>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</si>
  <si>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</si>
  <si>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</si>
  <si>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</si>
  <si>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</si>
  <si>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</si>
  <si>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</si>
  <si>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</si>
  <si>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</si>
  <si>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</si>
  <si>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</si>
  <si>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</si>
  <si>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</si>
  <si>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</si>
  <si>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</si>
  <si>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</si>
  <si>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</si>
  <si>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</si>
  <si>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</si>
  <si>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</si>
  <si>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</si>
  <si>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</si>
  <si>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</si>
  <si>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</si>
  <si>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</si>
  <si>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</si>
  <si>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</si>
  <si>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</si>
  <si>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</si>
  <si>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</si>
  <si>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</si>
  <si>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</si>
  <si>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</si>
  <si>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</si>
  <si>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</si>
  <si>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</si>
  <si>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</si>
  <si>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</si>
  <si>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</si>
  <si>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</si>
  <si>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</si>
  <si>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</si>
  <si>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</si>
  <si>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</si>
  <si>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</si>
  <si>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</si>
  <si>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</si>
  <si>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</si>
  <si>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</si>
  <si>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</si>
  <si>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</si>
  <si>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</si>
  <si>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</si>
  <si>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</si>
  <si>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</si>
  <si>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</si>
  <si>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</si>
  <si>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</si>
  <si>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</si>
  <si>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</si>
  <si>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</si>
  <si>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</si>
  <si>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</si>
  <si>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</si>
  <si>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</si>
  <si>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</si>
  <si>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</si>
  <si>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</si>
  <si>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</si>
  <si>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</si>
  <si>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</si>
  <si>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</si>
  <si>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</si>
  <si>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</si>
  <si>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</si>
  <si>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</si>
  <si>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</si>
  <si>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</si>
  <si>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</si>
  <si>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</si>
  <si>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</si>
  <si>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</si>
  <si>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</si>
  <si>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</si>
  <si>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</si>
  <si>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</si>
  <si>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</si>
  <si>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</si>
  <si>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</si>
  <si>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</si>
  <si>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</si>
  <si>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</si>
  <si>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</si>
  <si>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</si>
  <si>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</si>
  <si>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</si>
  <si>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</si>
  <si>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</si>
  <si>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</si>
  <si>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</si>
  <si>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</si>
  <si>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</si>
  <si>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</si>
  <si>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</si>
  <si>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</si>
  <si>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</si>
  <si>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</si>
  <si>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</si>
  <si>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</si>
  <si>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</si>
  <si>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</si>
  <si>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</si>
  <si>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</si>
  <si>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</si>
  <si>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</si>
  <si>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</si>
  <si>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</si>
  <si>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</si>
  <si>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</si>
  <si>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</si>
  <si>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</si>
  <si>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</si>
  <si>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</si>
  <si>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</si>
  <si>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</si>
  <si>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</si>
  <si>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</si>
  <si>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</si>
  <si>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</si>
  <si>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</si>
  <si>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</si>
  <si>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</si>
  <si>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</si>
  <si>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</si>
  <si>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</si>
  <si>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</si>
  <si>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</si>
  <si>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</si>
  <si>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</si>
  <si>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</si>
  <si>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</si>
  <si>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</si>
  <si>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</si>
  <si>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</si>
  <si>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</si>
  <si>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</si>
  <si>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</si>
  <si>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</si>
  <si>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</si>
  <si>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</si>
  <si>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</si>
  <si>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</si>
  <si>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</si>
  <si>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</si>
  <si>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</si>
  <si>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</si>
  <si>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</si>
  <si>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</si>
  <si>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</si>
  <si>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</si>
  <si>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</si>
  <si>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</si>
  <si>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</si>
  <si>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</si>
  <si>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</si>
  <si>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</si>
  <si>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</si>
  <si>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</si>
  <si>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</si>
  <si>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</si>
  <si>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</si>
  <si>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</si>
  <si>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</si>
  <si>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</si>
  <si>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</si>
  <si>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</si>
  <si>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</si>
  <si>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</si>
  <si>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</si>
  <si>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</si>
  <si>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</si>
  <si>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</si>
  <si>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</si>
  <si>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</si>
  <si>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</si>
  <si>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</si>
  <si>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</si>
  <si>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</si>
  <si>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</si>
  <si>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</si>
  <si>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</si>
  <si>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</si>
  <si>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</si>
  <si>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</si>
  <si>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</si>
  <si>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</si>
  <si>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</si>
  <si>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</si>
  <si>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</si>
  <si>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</si>
  <si>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</si>
  <si>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</si>
  <si>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</si>
  <si>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</si>
  <si>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</si>
  <si>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</si>
  <si>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</si>
  <si>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</si>
  <si>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</si>
  <si>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</si>
  <si>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</si>
  <si>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</si>
  <si>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</si>
  <si>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</si>
  <si>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</si>
  <si>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</si>
  <si>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</si>
  <si>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</si>
  <si>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</si>
  <si>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</si>
  <si>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</si>
  <si>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</si>
  <si>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</si>
  <si>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</si>
  <si>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</si>
  <si>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</si>
  <si>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</si>
  <si>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</si>
  <si>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</si>
  <si>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</si>
  <si>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</si>
  <si>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</si>
  <si>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</si>
  <si>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</si>
  <si>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</si>
  <si>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</si>
  <si>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</si>
  <si>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</si>
  <si>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</si>
  <si>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</si>
  <si>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</si>
  <si>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</si>
  <si>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</si>
  <si>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</si>
  <si>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</si>
  <si>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</si>
  <si>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</si>
  <si>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</si>
  <si>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</si>
  <si>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</si>
  <si>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</si>
  <si>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</si>
  <si>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</si>
  <si>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</si>
  <si>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</si>
  <si>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</si>
  <si>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</si>
  <si>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</si>
  <si>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</si>
  <si>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</si>
  <si>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</si>
  <si>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</si>
  <si>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</si>
  <si>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</si>
  <si>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</si>
  <si>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</si>
  <si>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</si>
  <si>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</si>
  <si>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</si>
  <si>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</si>
  <si>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</si>
  <si>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</si>
  <si>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</si>
  <si>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</si>
  <si>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</si>
  <si>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</si>
  <si>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</si>
  <si>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</si>
  <si>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</si>
  <si>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</si>
  <si>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</si>
  <si>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</si>
  <si>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</si>
  <si>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</si>
  <si>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</si>
  <si>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</si>
  <si>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</si>
  <si>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</si>
  <si>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</si>
  <si>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</si>
  <si>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</si>
  <si>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</si>
  <si>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</si>
  <si>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</si>
  <si>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</si>
  <si>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</si>
  <si>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</si>
  <si>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</si>
  <si>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</si>
  <si>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</si>
  <si>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</si>
  <si>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</si>
  <si>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</si>
  <si>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</si>
  <si>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</si>
  <si>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</si>
  <si>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</si>
  <si>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</si>
  <si>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</si>
  <si>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</si>
  <si>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</si>
  <si>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</si>
  <si>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</si>
  <si>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</si>
  <si>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</si>
  <si>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</si>
  <si>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</si>
  <si>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</si>
  <si>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</si>
  <si>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</si>
  <si>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</si>
  <si>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</si>
  <si>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</si>
  <si>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</si>
  <si>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</si>
  <si>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</si>
  <si>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</si>
  <si>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</si>
  <si>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</si>
  <si>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</si>
  <si>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</si>
  <si>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</si>
  <si>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</si>
  <si>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</si>
  <si>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</si>
  <si>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</si>
  <si>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</si>
  <si>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</si>
  <si>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</si>
  <si>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</si>
  <si>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</si>
  <si>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</si>
  <si>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</si>
  <si>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</si>
  <si>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</si>
  <si>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</si>
  <si>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</si>
  <si>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</si>
  <si>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</si>
  <si>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</si>
  <si>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</si>
  <si>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</si>
  <si>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</si>
  <si>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</si>
  <si>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</si>
  <si>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</si>
  <si>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</si>
  <si>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</si>
  <si>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</si>
  <si>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</si>
  <si>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</si>
  <si>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</si>
  <si>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</si>
  <si>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</si>
  <si>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</si>
  <si>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</si>
  <si>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</si>
  <si>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</si>
  <si>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</si>
  <si>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</si>
  <si>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</si>
  <si>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</si>
  <si>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</si>
  <si>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</si>
  <si>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</si>
  <si>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</si>
  <si>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</si>
  <si>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</si>
  <si>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</si>
  <si>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</si>
  <si>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</si>
  <si>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</si>
  <si>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</si>
  <si>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</si>
  <si>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</si>
  <si>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</si>
  <si>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</si>
  <si>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</si>
  <si>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</si>
  <si>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</si>
  <si>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</si>
  <si>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</si>
  <si>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</si>
  <si>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</si>
  <si>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</si>
  <si>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</si>
  <si>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</si>
  <si>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</si>
  <si>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</si>
  <si>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</si>
  <si>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</si>
  <si>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</si>
  <si>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</si>
  <si>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</si>
  <si>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</si>
  <si>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</si>
  <si>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</si>
  <si>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</si>
  <si>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</si>
  <si>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</si>
  <si>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</si>
  <si>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</si>
  <si>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</si>
  <si>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</si>
  <si>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</si>
  <si>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</si>
  <si>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</si>
  <si>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</si>
  <si>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</si>
  <si>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</si>
  <si>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</si>
  <si>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</si>
  <si>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</si>
  <si>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</si>
  <si>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</si>
  <si>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</si>
  <si>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</si>
  <si>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</si>
  <si>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</si>
  <si>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</si>
  <si>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</si>
  <si>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</si>
  <si>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</si>
  <si>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</si>
  <si>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</si>
  <si>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</si>
  <si>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</si>
  <si>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</si>
  <si>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</si>
  <si>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</si>
  <si>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</si>
  <si>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</si>
  <si>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</si>
  <si>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</si>
  <si>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</si>
  <si>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</si>
  <si>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</si>
  <si>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</si>
  <si>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</si>
  <si>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</si>
  <si>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</si>
  <si>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</si>
  <si>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</si>
  <si>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</si>
  <si>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</si>
  <si>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</si>
  <si>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</si>
  <si>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</si>
  <si>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</si>
  <si>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</si>
  <si>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</si>
  <si>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</si>
  <si>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</si>
  <si>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</si>
  <si>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</si>
  <si>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</si>
  <si>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</si>
  <si>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</si>
  <si>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</si>
  <si>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</si>
  <si>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</si>
  <si>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</si>
  <si>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</si>
  <si>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</si>
  <si>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</si>
  <si>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</si>
  <si>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</si>
  <si>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</si>
  <si>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</si>
  <si>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</si>
  <si>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</si>
  <si>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</si>
  <si>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</si>
  <si>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</si>
  <si>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</si>
  <si>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</si>
  <si>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</si>
  <si>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</si>
  <si>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</si>
  <si>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</si>
  <si>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</si>
  <si>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</si>
  <si>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</si>
  <si>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</si>
  <si>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</si>
  <si>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</si>
  <si>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</si>
  <si>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</si>
  <si>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</si>
  <si>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</si>
  <si>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</si>
  <si>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</si>
  <si>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</si>
  <si>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</si>
  <si>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</si>
  <si>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</si>
  <si>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</si>
  <si>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</si>
  <si>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</si>
  <si>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</si>
  <si>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</si>
  <si>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</si>
  <si>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</si>
  <si>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</si>
  <si>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</si>
  <si>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</si>
  <si>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</si>
  <si>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</si>
  <si>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</si>
  <si>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</si>
  <si>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</si>
  <si>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</si>
  <si>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</si>
  <si>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</si>
  <si>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</si>
  <si>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</si>
  <si>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</si>
  <si>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</si>
  <si>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</si>
  <si>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</si>
  <si>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</si>
  <si>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</si>
  <si>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</si>
  <si>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</si>
  <si>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</si>
  <si>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</si>
  <si>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</si>
  <si>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</si>
  <si>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</si>
  <si>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</si>
  <si>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</si>
  <si>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</si>
  <si>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</si>
  <si>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</si>
  <si>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</si>
  <si>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</si>
  <si>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</si>
  <si>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</si>
  <si>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</si>
  <si>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</si>
  <si>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</si>
  <si>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</si>
  <si>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</si>
  <si>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</si>
  <si>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</si>
  <si>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</si>
  <si>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</si>
  <si>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</si>
  <si>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</si>
  <si>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</si>
  <si>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</si>
  <si>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</si>
  <si>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</si>
  <si>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</si>
  <si>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</si>
  <si>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</si>
  <si>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</si>
  <si>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</si>
  <si>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</si>
  <si>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</si>
  <si>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</si>
  <si>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</si>
  <si>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</si>
  <si>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</si>
  <si>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</si>
  <si>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</si>
  <si>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</si>
  <si>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</si>
  <si>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</si>
  <si>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</si>
  <si>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</si>
  <si>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</si>
  <si>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</si>
  <si>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</si>
  <si>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</si>
  <si>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</si>
  <si>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</si>
  <si>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</si>
  <si>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</si>
  <si>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</si>
  <si>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</si>
  <si>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</si>
  <si>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</si>
  <si>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</si>
  <si>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</si>
  <si>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</si>
  <si>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</si>
  <si>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</si>
  <si>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</si>
  <si>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</si>
  <si>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</si>
  <si>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</si>
  <si>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</si>
  <si>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</si>
  <si>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</si>
  <si>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</si>
  <si>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</si>
  <si>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</si>
  <si>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</si>
  <si>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</si>
  <si>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</si>
  <si>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</si>
  <si>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</si>
  <si>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</si>
  <si>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</si>
  <si>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</si>
  <si>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</si>
  <si>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</si>
  <si>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</si>
  <si>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</si>
  <si>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</si>
  <si>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</si>
  <si>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</si>
  <si>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</si>
  <si>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</si>
  <si>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</si>
  <si>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</si>
  <si>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</si>
  <si>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</si>
  <si>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</si>
  <si>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</si>
  <si>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</si>
  <si>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</si>
  <si>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</si>
  <si>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</si>
  <si>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</si>
  <si>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</si>
  <si>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</si>
  <si>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</si>
  <si>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</si>
  <si>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</si>
  <si>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</si>
  <si>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</si>
  <si>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</si>
  <si>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</si>
  <si>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</si>
  <si>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</si>
  <si>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</si>
  <si>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</si>
  <si>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</si>
  <si>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</si>
  <si>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</si>
  <si>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</si>
  <si>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</si>
  <si>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</si>
  <si>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</si>
  <si>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</si>
  <si>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</si>
  <si>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</si>
  <si>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</si>
  <si>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</si>
  <si>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</si>
  <si>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</si>
  <si>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</si>
  <si>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</si>
  <si>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</si>
  <si>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</si>
  <si>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</si>
  <si>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</si>
  <si>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</si>
  <si>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</si>
  <si>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</si>
  <si>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</si>
  <si>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</si>
  <si>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</si>
  <si>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</si>
  <si>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</si>
  <si>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</si>
  <si>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</si>
  <si>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</si>
  <si>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</si>
  <si>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</si>
  <si>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</si>
  <si>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</si>
  <si>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</si>
  <si>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</si>
  <si>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</si>
  <si>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</si>
  <si>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</si>
  <si>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</si>
  <si>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</si>
  <si>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</si>
  <si>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</si>
  <si>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</si>
  <si>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</si>
  <si>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</si>
  <si>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</si>
  <si>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</si>
  <si>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</si>
  <si>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</si>
  <si>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</si>
  <si>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</si>
  <si>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</si>
  <si>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</si>
  <si>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</si>
  <si>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</si>
  <si>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</si>
  <si>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</si>
  <si>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</si>
  <si>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</si>
  <si>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</si>
  <si>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</si>
  <si>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</si>
  <si>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</si>
  <si>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</si>
  <si>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</si>
  <si>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</si>
  <si>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</si>
  <si>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</si>
  <si>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</si>
  <si>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</si>
  <si>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</si>
  <si>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</si>
  <si>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</si>
  <si>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</si>
  <si>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</si>
  <si>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</si>
  <si>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</si>
  <si>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</si>
  <si>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</si>
  <si>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</si>
  <si>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</si>
  <si>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</si>
  <si>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</si>
  <si>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</si>
  <si>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</si>
  <si>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</si>
  <si>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</si>
  <si>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</si>
  <si>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</si>
  <si>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</si>
  <si>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</si>
  <si>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</si>
  <si>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</si>
  <si>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</si>
  <si>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</si>
  <si>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</si>
  <si>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</si>
  <si>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</si>
  <si>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</si>
  <si>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</si>
  <si>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</si>
  <si>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</si>
  <si>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</si>
  <si>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</si>
  <si>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</si>
  <si>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</si>
  <si>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</si>
  <si>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</si>
  <si>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</si>
  <si>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</si>
  <si>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</si>
  <si>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</si>
  <si>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</si>
  <si>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</si>
  <si>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</si>
  <si>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</si>
  <si>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</si>
  <si>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</si>
  <si>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</si>
  <si>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</si>
  <si>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</si>
  <si>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</si>
  <si>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</si>
  <si>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</si>
  <si>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</si>
  <si>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</si>
  <si>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</si>
  <si>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</si>
  <si>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</si>
  <si>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</si>
  <si>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</si>
  <si>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</si>
  <si>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</si>
  <si>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</si>
  <si>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</si>
  <si>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</si>
  <si>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</si>
  <si>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</si>
  <si>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</si>
  <si>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</si>
  <si>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</si>
  <si>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</si>
  <si>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</si>
  <si>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</si>
  <si>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</si>
  <si>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</si>
  <si>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</si>
  <si>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</si>
  <si>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</si>
  <si>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</si>
  <si>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</si>
  <si>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</si>
  <si>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</si>
  <si>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</si>
  <si>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</si>
  <si>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</si>
  <si>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</si>
  <si>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</si>
  <si>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</si>
  <si>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</si>
  <si>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</si>
  <si>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</si>
  <si>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</si>
  <si>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</si>
  <si>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</si>
  <si>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</si>
  <si>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</si>
  <si>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</si>
  <si>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</si>
  <si>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</si>
  <si>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</si>
  <si>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</si>
  <si>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</si>
  <si>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</si>
  <si>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</si>
  <si>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</si>
  <si>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</si>
  <si>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</si>
  <si>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</si>
  <si>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</si>
  <si>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</si>
  <si>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</si>
  <si>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</si>
  <si>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</si>
  <si>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</si>
  <si>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</si>
  <si>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</si>
  <si>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</si>
  <si>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</si>
  <si>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</si>
  <si>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</si>
  <si>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</si>
  <si>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</si>
  <si>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</si>
  <si>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</si>
  <si>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</si>
  <si>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</si>
  <si>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</si>
  <si>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</si>
  <si>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</si>
  <si>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</si>
  <si>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</si>
  <si>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</si>
  <si>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</si>
  <si>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</si>
  <si>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</si>
  <si>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</si>
  <si>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</si>
  <si>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</si>
  <si>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</si>
  <si>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</si>
  <si>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</si>
  <si>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</si>
  <si>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</si>
  <si>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</si>
  <si>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</si>
  <si>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</si>
  <si>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</si>
  <si>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</si>
  <si>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</si>
  <si>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</si>
  <si>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</si>
  <si>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</si>
  <si>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</si>
  <si>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</si>
  <si>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</si>
  <si>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</si>
  <si>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</si>
  <si>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</si>
  <si>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</si>
  <si>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</si>
  <si>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</si>
  <si>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</si>
  <si>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</si>
  <si>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</si>
  <si>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</si>
  <si>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</si>
  <si>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</si>
  <si>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</si>
  <si>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</si>
  <si>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</si>
  <si>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</si>
  <si>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</si>
  <si>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</si>
  <si>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</si>
  <si>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</si>
  <si>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</si>
  <si>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</si>
  <si>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</si>
  <si>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</si>
  <si>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</si>
  <si>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</si>
  <si>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</si>
  <si>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</si>
  <si>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</si>
  <si>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</si>
  <si>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</si>
  <si>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</si>
  <si>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</si>
  <si>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</si>
  <si>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</si>
  <si>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</si>
  <si>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</si>
  <si>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</si>
  <si>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</si>
  <si>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</si>
  <si>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</si>
  <si>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</si>
  <si>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</si>
  <si>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</si>
  <si>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</si>
  <si>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</si>
  <si>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</si>
  <si>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</si>
  <si>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</si>
  <si>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</si>
  <si>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</si>
  <si>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</si>
  <si>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</si>
  <si>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</si>
  <si>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</si>
  <si>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</si>
  <si>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</si>
  <si>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</si>
  <si>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</si>
  <si>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</si>
  <si>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</si>
  <si>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</si>
  <si>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</si>
  <si>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</si>
  <si>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</si>
  <si>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</si>
  <si>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</si>
  <si>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</si>
  <si>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</si>
  <si>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</si>
  <si>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</si>
  <si>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</si>
  <si>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</si>
  <si>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</si>
  <si>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</si>
  <si>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</si>
  <si>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</si>
  <si>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</si>
  <si>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</si>
  <si>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</si>
  <si>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</si>
  <si>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</si>
  <si>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</si>
  <si>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</si>
  <si>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</si>
  <si>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</si>
  <si>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</si>
  <si>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</si>
  <si>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</si>
  <si>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</si>
  <si>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</si>
  <si>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</si>
  <si>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</si>
  <si>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</si>
  <si>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</si>
  <si>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</si>
  <si>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</si>
  <si>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</si>
  <si>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</si>
  <si>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</si>
  <si>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</si>
  <si>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</si>
  <si>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</si>
  <si>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</si>
  <si>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</si>
  <si>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</si>
  <si>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</si>
  <si>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</si>
  <si>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</si>
  <si>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</si>
  <si>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</si>
  <si>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</si>
  <si>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</si>
  <si>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</si>
  <si>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</si>
  <si>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</si>
  <si>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</si>
  <si>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</si>
  <si>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</si>
  <si>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</si>
  <si>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</si>
  <si>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</si>
  <si>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</si>
  <si>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</si>
  <si>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</si>
  <si>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</si>
  <si>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</si>
  <si>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</si>
  <si>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</si>
  <si>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</si>
  <si>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</si>
  <si>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</si>
  <si>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</si>
  <si>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</si>
  <si>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</si>
  <si>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</si>
  <si>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</si>
  <si>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</si>
  <si>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</si>
  <si>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</si>
  <si>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</si>
  <si>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</si>
  <si>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</si>
  <si>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</si>
  <si>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</si>
  <si>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</si>
  <si>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</si>
  <si>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</si>
  <si>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</si>
  <si>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</si>
  <si>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</si>
  <si>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</si>
  <si>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</si>
  <si>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</si>
  <si>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</si>
  <si>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</si>
  <si>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</si>
  <si>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</si>
  <si>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</si>
  <si>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</si>
  <si>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</si>
  <si>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</si>
  <si>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</si>
  <si>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</si>
  <si>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</si>
  <si>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</si>
  <si>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</si>
  <si>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</si>
  <si>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</si>
  <si>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</si>
  <si>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</si>
  <si>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</si>
  <si>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</si>
  <si>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</si>
  <si>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</si>
  <si>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</si>
  <si>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</si>
  <si>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</si>
  <si>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</si>
  <si>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</si>
  <si>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</si>
  <si>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</si>
  <si>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</si>
  <si>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</si>
  <si>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</si>
  <si>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</si>
  <si>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</si>
  <si>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</si>
  <si>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</si>
  <si>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</si>
  <si>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</si>
  <si>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</si>
  <si>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</si>
  <si>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</si>
  <si>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</si>
  <si>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</si>
  <si>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</si>
  <si>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</si>
  <si>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</si>
  <si>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</si>
  <si>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</si>
  <si>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</si>
  <si>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</si>
  <si>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</si>
  <si>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</si>
  <si>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</si>
  <si>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</si>
  <si>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</si>
  <si>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</si>
  <si>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</si>
  <si>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</si>
  <si>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</si>
  <si>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</si>
  <si>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</si>
  <si>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</si>
  <si>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</si>
  <si>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</si>
  <si>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</si>
  <si>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</si>
  <si>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</si>
  <si>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</si>
  <si>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</si>
  <si>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</si>
  <si>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</si>
  <si>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</si>
  <si>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</si>
  <si>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</si>
  <si>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</si>
  <si>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</si>
  <si>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</si>
  <si>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</si>
  <si>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</si>
  <si>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</si>
  <si>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</si>
  <si>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</si>
  <si>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</si>
  <si>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</si>
  <si>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</si>
  <si>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</si>
  <si>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</si>
  <si>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</si>
  <si>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</si>
  <si>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</si>
  <si>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</si>
  <si>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</si>
  <si>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</si>
  <si>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</si>
  <si>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</si>
  <si>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</si>
  <si>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</si>
  <si>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</si>
  <si>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</si>
  <si>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</si>
  <si>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</si>
  <si>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</si>
  <si>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</si>
  <si>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</si>
  <si>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</si>
  <si>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</si>
  <si>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</si>
  <si>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</si>
  <si>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</si>
  <si>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</si>
  <si>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</si>
  <si>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</si>
  <si>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</si>
  <si>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</si>
  <si>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</si>
  <si>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</si>
  <si>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</si>
  <si>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</si>
  <si>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</si>
  <si>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</si>
  <si>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</si>
  <si>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</si>
  <si>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</si>
  <si>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</si>
  <si>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</si>
  <si>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</si>
  <si>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</si>
  <si>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</si>
  <si>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</si>
  <si>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</si>
  <si>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</si>
  <si>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</si>
  <si>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</si>
  <si>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</si>
  <si>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</si>
  <si>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</si>
  <si>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</si>
  <si>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</si>
  <si>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</si>
  <si>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</si>
  <si>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</si>
  <si>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</si>
  <si>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</si>
  <si>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</si>
  <si>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</si>
  <si>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</si>
  <si>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</si>
  <si>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</si>
  <si>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</si>
  <si>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</si>
  <si>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</si>
  <si>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</si>
  <si>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</si>
  <si>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</si>
  <si>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</si>
  <si>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</si>
  <si>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</si>
  <si>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</si>
  <si>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</si>
  <si>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</si>
  <si>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</si>
  <si>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</si>
  <si>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</si>
  <si>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</si>
  <si>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</si>
  <si>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</si>
  <si>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</si>
  <si>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</si>
  <si>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</si>
  <si>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</si>
  <si>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</si>
  <si>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</si>
  <si>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</si>
  <si>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</si>
  <si>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</si>
  <si>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</si>
  <si>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</si>
  <si>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</si>
  <si>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</si>
  <si>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</si>
  <si>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</si>
  <si>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</si>
  <si>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</si>
  <si>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</si>
  <si>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</si>
  <si>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</si>
  <si>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</si>
  <si>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</si>
  <si>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</si>
  <si>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</si>
  <si>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</si>
  <si>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</si>
  <si>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</si>
  <si>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</si>
  <si>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</si>
  <si>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</si>
  <si>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</si>
  <si>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</si>
  <si>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</si>
  <si>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</si>
  <si>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</si>
  <si>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</si>
  <si>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</si>
  <si>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</si>
  <si>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</si>
  <si>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</si>
  <si>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</si>
  <si>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</si>
  <si>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</si>
  <si>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</si>
  <si>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</si>
  <si>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</si>
  <si>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</si>
  <si>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</si>
  <si>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</si>
  <si>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</si>
  <si>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</si>
  <si>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</si>
  <si>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</si>
  <si>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</si>
  <si>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</si>
  <si>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</si>
  <si>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</si>
  <si>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</si>
  <si>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</si>
  <si>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</si>
  <si>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</si>
  <si>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</si>
  <si>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</si>
  <si>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</si>
  <si>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</si>
  <si>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</si>
  <si>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</si>
  <si>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</si>
  <si>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</si>
  <si>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</si>
  <si>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</si>
  <si>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</si>
  <si>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</si>
  <si>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</si>
  <si>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</si>
  <si>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</si>
  <si>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</si>
  <si>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</si>
  <si>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</si>
  <si>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</si>
  <si>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</si>
  <si>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</si>
  <si>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</si>
  <si>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</si>
  <si>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</si>
  <si>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</si>
  <si>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</si>
  <si>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</si>
  <si>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</si>
  <si>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</si>
  <si>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</si>
  <si>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</si>
  <si>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</si>
  <si>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</si>
  <si>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</si>
  <si>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</si>
  <si>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</si>
  <si>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</si>
  <si>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</si>
  <si>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</si>
  <si>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</si>
  <si>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</si>
  <si>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</si>
  <si>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</si>
  <si>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</si>
  <si>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</si>
  <si>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</si>
  <si>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</si>
  <si>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</si>
  <si>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</si>
  <si>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</si>
  <si>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</si>
  <si>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</si>
  <si>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</si>
  <si>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</si>
  <si>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</si>
  <si>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</si>
  <si>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</si>
  <si>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</si>
  <si>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</si>
  <si>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</si>
  <si>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</si>
  <si>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</si>
  <si>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</si>
  <si>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</si>
  <si>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</si>
  <si>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</si>
  <si>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</si>
  <si>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</si>
  <si>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</si>
  <si>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</si>
  <si>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</si>
  <si>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</si>
  <si>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</si>
  <si>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</si>
  <si>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</si>
  <si>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</si>
  <si>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</si>
  <si>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</si>
  <si>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</si>
  <si>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</si>
  <si>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</si>
  <si>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</si>
  <si>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</si>
  <si>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</si>
  <si>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</si>
  <si>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</si>
  <si>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</si>
  <si>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</si>
  <si>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</si>
  <si>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</si>
  <si>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</si>
  <si>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</si>
  <si>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</si>
  <si>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</si>
  <si>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</si>
  <si>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</si>
  <si>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</si>
  <si>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</si>
  <si>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</si>
  <si>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</si>
  <si>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</si>
  <si>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</si>
  <si>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</si>
  <si>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</si>
  <si>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</si>
  <si>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</si>
  <si>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</si>
  <si>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</si>
  <si>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</si>
  <si>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</si>
  <si>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</si>
  <si>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</si>
  <si>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</si>
  <si>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</si>
  <si>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</si>
  <si>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</si>
  <si>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</si>
  <si>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</si>
  <si>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</si>
  <si>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</si>
  <si>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</si>
  <si>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</si>
  <si>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</si>
  <si>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</si>
  <si>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</si>
  <si>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</si>
  <si>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</si>
  <si>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</si>
  <si>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</si>
  <si>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</si>
  <si>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</si>
  <si>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</si>
  <si>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</si>
  <si>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</si>
  <si>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</si>
  <si>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</si>
  <si>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</si>
  <si>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</si>
  <si>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</si>
  <si>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</si>
  <si>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</si>
  <si>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</si>
  <si>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</si>
  <si>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</si>
  <si>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</si>
  <si>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</si>
  <si>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</si>
  <si>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</si>
  <si>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</si>
  <si>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</si>
  <si>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</si>
  <si>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</si>
  <si>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</si>
  <si>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</si>
  <si>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</si>
  <si>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</si>
  <si>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</si>
  <si>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</si>
  <si>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</si>
  <si>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</si>
  <si>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</si>
  <si>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</si>
  <si>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</si>
  <si>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</si>
  <si>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</si>
  <si>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</si>
  <si>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</si>
  <si>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</si>
  <si>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</si>
  <si>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</si>
  <si>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</si>
  <si>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</si>
  <si>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</si>
  <si>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</si>
  <si>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</si>
  <si>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</si>
  <si>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</si>
  <si>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</si>
  <si>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</si>
  <si>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</si>
  <si>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</si>
  <si>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</si>
  <si>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</si>
  <si>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</si>
  <si>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</si>
  <si>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</si>
  <si>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</si>
  <si>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</si>
  <si>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</si>
  <si>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</si>
  <si>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</si>
  <si>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</si>
  <si>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</si>
  <si>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</si>
  <si>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</si>
  <si>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</si>
  <si>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</si>
  <si>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</si>
  <si>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</si>
  <si>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</si>
  <si>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</si>
  <si>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</si>
  <si>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</si>
  <si>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</si>
  <si>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</si>
  <si>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</si>
  <si>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</si>
  <si>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</si>
  <si>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</si>
  <si>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</si>
  <si>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</si>
  <si>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</si>
  <si>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</si>
  <si>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</si>
  <si>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</si>
  <si>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</si>
  <si>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</si>
  <si>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</si>
  <si>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</si>
  <si>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</si>
  <si>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</si>
  <si>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</si>
  <si>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</si>
  <si>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</si>
  <si>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</si>
  <si>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</si>
  <si>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</si>
  <si>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</si>
  <si>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</si>
  <si>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土地比较法-工业</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</si>
  <si>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</si>
  <si>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</si>
  <si>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</si>
  <si>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</si>
  <si>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</si>
  <si>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</si>
  <si>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</si>
  <si>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</si>
  <si>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</si>
  <si>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</si>
  <si>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</si>
  <si>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</si>
  <si>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</si>
  <si>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</si>
  <si>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</si>
  <si>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</si>
  <si>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</si>
  <si>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</si>
  <si>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</si>
  <si>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</si>
  <si>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</si>
  <si>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</si>
  <si>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</si>
  <si>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</si>
  <si>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</si>
  <si>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</si>
  <si>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</si>
  <si>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</si>
  <si>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</si>
  <si>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</si>
  <si>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</si>
  <si>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</si>
  <si>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</si>
  <si>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</si>
  <si>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</si>
  <si>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</si>
  <si>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</si>
  <si>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</si>
  <si>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</si>
  <si>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</si>
  <si>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</si>
  <si>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</si>
  <si>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</si>
  <si>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</si>
  <si>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</si>
  <si>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</si>
  <si>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</si>
  <si>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</si>
  <si>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</si>
  <si>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</si>
  <si>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</si>
  <si>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</si>
  <si>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</si>
  <si>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</si>
  <si>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</si>
  <si>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</si>
  <si>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</si>
  <si>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</si>
  <si>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</si>
  <si>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</si>
  <si>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</si>
  <si>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</si>
  <si>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</si>
  <si>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</si>
  <si>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</si>
  <si>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</si>
  <si>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</si>
  <si>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</si>
  <si>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</si>
  <si>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</si>
  <si>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</si>
  <si>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</si>
  <si>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</si>
  <si>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</si>
  <si>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</si>
  <si>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</si>
  <si>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</si>
  <si>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</si>
  <si>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</si>
  <si>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</si>
  <si>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</si>
  <si>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</si>
  <si>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</si>
  <si>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</si>
  <si>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</si>
  <si>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</si>
  <si>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</si>
  <si>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</si>
  <si>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</si>
  <si>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</si>
  <si>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</si>
  <si>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</si>
  <si>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</si>
  <si>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</si>
  <si>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</si>
  <si>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</si>
  <si>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</si>
  <si>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</si>
  <si>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</si>
  <si>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</si>
  <si>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</si>
  <si>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</si>
  <si>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</si>
  <si>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</si>
  <si>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</si>
  <si>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</si>
  <si>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</si>
  <si>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</si>
  <si>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</si>
  <si>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</si>
  <si>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</si>
  <si>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</si>
  <si>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</si>
  <si>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</si>
  <si>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</si>
  <si>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</si>
  <si>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</si>
  <si>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</si>
  <si>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</si>
  <si>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</si>
  <si>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</si>
  <si>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</si>
  <si>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</si>
  <si>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</si>
  <si>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</si>
  <si>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</si>
  <si>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</si>
  <si>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</si>
  <si>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</si>
  <si>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</si>
  <si>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</si>
  <si>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</si>
  <si>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</si>
  <si>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</si>
  <si>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</si>
  <si>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</si>
  <si>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</si>
  <si>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</si>
  <si>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</si>
  <si>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</si>
  <si>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</si>
  <si>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</si>
  <si>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</si>
  <si>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</si>
  <si>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</si>
  <si>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</si>
  <si>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</si>
  <si>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</si>
  <si>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</si>
  <si>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</si>
  <si>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</si>
  <si>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</si>
  <si>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</si>
  <si>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</si>
  <si>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</si>
  <si>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</si>
  <si>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</si>
  <si>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</si>
  <si>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</si>
  <si>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</si>
  <si>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</si>
  <si>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</si>
  <si>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</si>
  <si>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</si>
  <si>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</si>
  <si>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</si>
  <si>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</si>
  <si>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</si>
  <si>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</si>
  <si>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</si>
  <si>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</si>
  <si>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</si>
  <si>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</si>
  <si>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</si>
  <si>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</si>
  <si>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</si>
  <si>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</si>
  <si>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</si>
  <si>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</si>
  <si>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</si>
  <si>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</si>
  <si>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</si>
  <si>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</si>
  <si>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</si>
  <si>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</si>
  <si>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</si>
  <si>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</si>
  <si>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</si>
  <si>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</si>
  <si>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</si>
  <si>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</si>
  <si>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</si>
  <si>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</si>
  <si>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</si>
  <si>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</si>
  <si>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</si>
  <si>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</si>
  <si>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</si>
  <si>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</si>
  <si>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</si>
  <si>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</si>
  <si>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</si>
  <si>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</si>
  <si>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</si>
  <si>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</si>
  <si>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</si>
  <si>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</si>
  <si>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</si>
  <si>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</si>
  <si>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</si>
  <si>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</si>
  <si>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</si>
  <si>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</si>
  <si>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</si>
  <si>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</si>
  <si>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</si>
  <si>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</si>
  <si>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</si>
  <si>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</si>
  <si>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</si>
  <si>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</si>
  <si>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</si>
  <si>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</si>
  <si>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</si>
  <si>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</si>
  <si>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</si>
  <si>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</si>
  <si>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</si>
  <si>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</si>
  <si>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</si>
  <si>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</si>
  <si>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</si>
  <si>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</si>
  <si>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</si>
  <si>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</si>
  <si>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</si>
  <si>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</si>
  <si>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</si>
  <si>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</si>
  <si>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</si>
  <si>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</si>
  <si>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</si>
  <si>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</si>
  <si>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</si>
  <si>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</si>
  <si>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</si>
  <si>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</si>
  <si>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</si>
  <si>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</si>
  <si>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</si>
  <si>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</si>
  <si>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</si>
  <si>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</si>
  <si>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</si>
  <si>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</si>
  <si>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</si>
  <si>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</si>
  <si>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</si>
  <si>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</si>
  <si>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</si>
  <si>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</si>
  <si>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</si>
  <si>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</si>
  <si>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</si>
  <si>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</si>
  <si>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</si>
  <si>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</si>
  <si>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</si>
  <si>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</si>
  <si>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</si>
  <si>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</si>
  <si>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</si>
  <si>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</si>
  <si>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</si>
  <si>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</si>
  <si>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</si>
  <si>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</si>
  <si>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</si>
  <si>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</si>
  <si>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</si>
  <si>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</si>
  <si>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</si>
  <si>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</si>
  <si>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</si>
  <si>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</si>
  <si>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</si>
  <si>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</si>
  <si>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</si>
  <si>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</si>
  <si>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</si>
  <si>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</si>
  <si>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</si>
  <si>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</si>
  <si>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</si>
  <si>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</si>
  <si>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</si>
  <si>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</si>
  <si>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</si>
  <si>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</si>
  <si>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</si>
  <si>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</si>
  <si>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</si>
  <si>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</si>
  <si>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</si>
  <si>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</si>
  <si>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</si>
  <si>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</si>
  <si>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</si>
  <si>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</si>
  <si>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</si>
  <si>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</si>
  <si>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</si>
  <si>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</si>
  <si>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</si>
  <si>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</si>
  <si>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</si>
  <si>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</si>
  <si>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</si>
  <si>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</si>
  <si>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</si>
  <si>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</si>
  <si>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</si>
  <si>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</si>
  <si>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</si>
  <si>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</si>
  <si>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</si>
  <si>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</si>
  <si>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</si>
  <si>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</si>
  <si>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</si>
  <si>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</si>
  <si>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</si>
  <si>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</si>
  <si>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</si>
  <si>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</si>
  <si>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</si>
  <si>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</si>
  <si>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</si>
  <si>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</si>
  <si>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</si>
  <si>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</si>
  <si>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</si>
  <si>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</si>
  <si>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</si>
  <si>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</si>
  <si>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</si>
  <si>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</si>
  <si>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</si>
  <si>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</si>
  <si>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</si>
  <si>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</si>
  <si>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</si>
  <si>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</si>
  <si>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</si>
  <si>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</si>
  <si>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</si>
  <si>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</si>
  <si>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</si>
  <si>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</si>
  <si>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</si>
  <si>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</si>
  <si>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</si>
  <si>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</si>
  <si>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</si>
  <si>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</si>
  <si>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</si>
  <si>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</si>
  <si>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</si>
  <si>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</si>
  <si>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</si>
  <si>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</si>
  <si>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</si>
  <si>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</si>
  <si>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</si>
  <si>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</si>
  <si>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</si>
  <si>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</si>
  <si>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</si>
  <si>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</si>
  <si>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</si>
  <si>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</si>
  <si>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</si>
  <si>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</si>
  <si>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</si>
  <si>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</si>
  <si>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</si>
  <si>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</si>
  <si>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</si>
  <si>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</si>
  <si>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</si>
  <si>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</si>
  <si>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</si>
  <si>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</si>
  <si>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</si>
  <si>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</si>
  <si>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</si>
  <si>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</si>
  <si>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</si>
  <si>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</si>
  <si>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</si>
  <si>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</si>
  <si>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</si>
  <si>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</si>
  <si>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</si>
  <si>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</si>
  <si>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</si>
  <si>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</si>
  <si>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</si>
  <si>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</si>
  <si>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</si>
  <si>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</si>
  <si>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</si>
  <si>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</si>
  <si>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</si>
  <si>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</si>
  <si>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</si>
  <si>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</si>
  <si>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</si>
  <si>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</si>
  <si>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</si>
  <si>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</si>
  <si>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</si>
  <si>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</si>
  <si>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</si>
  <si>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</si>
  <si>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</si>
  <si>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</si>
  <si>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</si>
  <si>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</si>
  <si>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</si>
  <si>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</si>
  <si>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</si>
  <si>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</si>
  <si>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</si>
  <si>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</si>
  <si>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</si>
  <si>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</si>
  <si>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</si>
  <si>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</si>
  <si>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</si>
  <si>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</si>
  <si>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</si>
  <si>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</si>
  <si>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</si>
  <si>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</si>
  <si>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</si>
  <si>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</si>
  <si>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</si>
  <si>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</si>
  <si>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</si>
  <si>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</si>
  <si>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</si>
  <si>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</si>
  <si>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</si>
  <si>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</si>
  <si>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</si>
  <si>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</si>
  <si>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</si>
  <si>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</si>
  <si>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</si>
  <si>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</si>
  <si>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</si>
  <si>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</si>
  <si>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</si>
  <si>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</si>
  <si>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</si>
  <si>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</si>
  <si>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</si>
  <si>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</si>
  <si>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</si>
  <si>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</si>
  <si>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</si>
  <si>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</si>
  <si>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</si>
  <si>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</si>
  <si>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</si>
  <si>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</si>
  <si>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</si>
  <si>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</si>
  <si>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</si>
  <si>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</si>
  <si>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</si>
  <si>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</si>
  <si>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</si>
  <si>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</si>
  <si>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</si>
  <si>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</si>
  <si>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</si>
  <si>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</si>
  <si>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</si>
  <si>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</si>
  <si>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</si>
  <si>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</si>
  <si>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</si>
  <si>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</si>
  <si>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</si>
  <si>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</si>
  <si>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</si>
  <si>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</si>
  <si>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</si>
  <si>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</si>
  <si>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</si>
  <si>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</si>
  <si>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</si>
  <si>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</si>
  <si>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</si>
  <si>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</si>
  <si>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</si>
  <si>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</si>
  <si>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</si>
  <si>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</si>
  <si>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</si>
  <si>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</si>
  <si>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</si>
  <si>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</si>
  <si>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</si>
  <si>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</si>
  <si>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</si>
  <si>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</si>
  <si>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</si>
  <si>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</si>
  <si>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</si>
  <si>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</si>
  <si>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</si>
  <si>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</si>
  <si>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</si>
  <si>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</si>
  <si>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</si>
  <si>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</si>
  <si>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</si>
  <si>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</si>
  <si>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</si>
  <si>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</si>
  <si>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</si>
  <si>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</si>
  <si>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</si>
  <si>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</si>
  <si>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</si>
  <si>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</si>
  <si>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</si>
  <si>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</si>
  <si>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</si>
  <si>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</si>
  <si>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</si>
  <si>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</si>
  <si>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</si>
  <si>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</si>
  <si>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</si>
  <si>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</si>
  <si>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</si>
  <si>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</si>
  <si>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</si>
  <si>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</si>
  <si>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</si>
  <si>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</si>
  <si>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</si>
  <si>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</si>
  <si>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</si>
  <si>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</si>
  <si>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</si>
  <si>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</si>
  <si>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</si>
  <si>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</si>
  <si>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</si>
  <si>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</si>
  <si>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</si>
  <si>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</si>
  <si>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</si>
  <si>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</si>
  <si>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</si>
  <si>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</si>
  <si>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</si>
  <si>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</si>
  <si>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</si>
  <si>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</si>
  <si>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</si>
  <si>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</si>
  <si>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</si>
  <si>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</si>
  <si>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</si>
  <si>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</si>
  <si>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</si>
  <si>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</si>
  <si>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</si>
  <si>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</si>
  <si>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</si>
  <si>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</si>
  <si>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</si>
  <si>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</si>
  <si>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</si>
  <si>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</si>
  <si>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</si>
  <si>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</si>
  <si>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</si>
  <si>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</si>
  <si>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</si>
  <si>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</si>
  <si>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</si>
  <si>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</si>
  <si>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</si>
  <si>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</si>
  <si>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</si>
  <si>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</si>
  <si>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</si>
  <si>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</si>
  <si>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</si>
  <si>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</si>
  <si>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</si>
  <si>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</si>
  <si>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</si>
  <si>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</si>
  <si>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</si>
  <si>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</si>
  <si>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</si>
  <si>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</si>
  <si>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</si>
  <si>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</si>
  <si>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</si>
  <si>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</si>
  <si>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</si>
  <si>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</si>
  <si>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</si>
  <si>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</si>
  <si>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</si>
  <si>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</si>
  <si>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</si>
  <si>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</si>
  <si>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</si>
  <si>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</si>
  <si>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</si>
  <si>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</si>
  <si>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</si>
  <si>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</si>
  <si>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</si>
  <si>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</si>
  <si>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</si>
  <si>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</si>
  <si>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</si>
  <si>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</si>
  <si>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</si>
  <si>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</si>
  <si>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</si>
  <si>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</si>
  <si>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</si>
  <si>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</si>
  <si>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</si>
  <si>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</si>
  <si>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</si>
  <si>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</si>
  <si>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</si>
  <si>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</si>
  <si>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</si>
  <si>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</si>
  <si>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</si>
  <si>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</si>
  <si>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</si>
  <si>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</si>
  <si>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</si>
  <si>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</si>
  <si>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</si>
  <si>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</si>
  <si>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</si>
  <si>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</si>
  <si>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</si>
  <si>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</si>
  <si>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</si>
  <si>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</si>
  <si>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</si>
  <si>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</si>
  <si>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</si>
  <si>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</si>
  <si>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</si>
  <si>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</si>
  <si>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</si>
  <si>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</si>
  <si>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</si>
  <si>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</si>
  <si>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</si>
  <si>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</si>
  <si>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</si>
  <si>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</si>
  <si>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</si>
  <si>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</si>
  <si>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</si>
  <si>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</si>
  <si>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</si>
  <si>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</si>
  <si>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</si>
  <si>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</si>
  <si>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</si>
  <si>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</si>
  <si>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</si>
  <si>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</si>
  <si>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</si>
  <si>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</si>
  <si>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</si>
  <si>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</si>
  <si>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</si>
  <si>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</si>
  <si>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</si>
  <si>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</si>
  <si>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</si>
  <si>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</si>
  <si>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</si>
  <si>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</si>
  <si>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</si>
  <si>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</si>
  <si>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</si>
  <si>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</si>
  <si>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</si>
  <si>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</si>
  <si>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</si>
  <si>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</si>
  <si>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</si>
  <si>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</si>
  <si>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</si>
  <si>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</si>
  <si>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</si>
  <si>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</si>
  <si>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</si>
  <si>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</si>
  <si>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</si>
  <si>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</si>
  <si>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</si>
  <si>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</si>
  <si>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</si>
  <si>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</si>
  <si>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</si>
  <si>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</si>
  <si>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</si>
  <si>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</si>
  <si>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</si>
  <si>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</si>
  <si>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</si>
  <si>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</si>
  <si>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</si>
  <si>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</si>
  <si>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</si>
  <si>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</si>
  <si>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</si>
  <si>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</si>
  <si>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</si>
  <si>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</si>
  <si>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</si>
  <si>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</si>
  <si>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</si>
  <si>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</si>
  <si>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</si>
  <si>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</si>
  <si>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</si>
  <si>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</si>
  <si>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</si>
  <si>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</si>
  <si>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</si>
  <si>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</si>
  <si>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</si>
  <si>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</si>
  <si>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</si>
  <si>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</si>
  <si>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</si>
  <si>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</si>
  <si>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</si>
  <si>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</si>
  <si>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</si>
  <si>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</si>
  <si>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</si>
  <si>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</si>
  <si>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</si>
  <si>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</si>
  <si>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</si>
  <si>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</si>
  <si>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</si>
  <si>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</si>
  <si>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</si>
  <si>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</si>
  <si>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</si>
  <si>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</si>
  <si>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</si>
  <si>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</si>
  <si>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</si>
  <si>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</si>
  <si>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</si>
  <si>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</si>
  <si>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</si>
  <si>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</si>
  <si>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</si>
  <si>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</si>
  <si>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</si>
  <si>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</si>
  <si>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</si>
  <si>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</si>
  <si>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</si>
  <si>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</si>
  <si>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</si>
  <si>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</si>
  <si>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</si>
  <si>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</si>
  <si>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</si>
  <si>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</si>
  <si>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</si>
  <si>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</si>
  <si>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</si>
  <si>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</si>
  <si>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</si>
  <si>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</si>
  <si>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</si>
  <si>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</si>
  <si>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</si>
  <si>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</si>
  <si>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</si>
  <si>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</si>
  <si>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</si>
  <si>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</si>
  <si>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</si>
  <si>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</si>
  <si>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</si>
  <si>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</si>
  <si>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</si>
  <si>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</si>
  <si>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</si>
  <si>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</si>
  <si>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</si>
  <si>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</si>
  <si>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</si>
  <si>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</si>
  <si>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</si>
  <si>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</si>
  <si>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</si>
  <si>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</si>
  <si>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</si>
  <si>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</si>
  <si>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</si>
  <si>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</si>
  <si>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</si>
  <si>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</si>
  <si>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</si>
  <si>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</si>
  <si>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</si>
  <si>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</si>
  <si>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</si>
  <si>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</si>
  <si>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</si>
  <si>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</si>
  <si>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</si>
  <si>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</si>
  <si>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</si>
  <si>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</si>
  <si>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</si>
  <si>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</si>
  <si>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</si>
  <si>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</si>
  <si>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</si>
  <si>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</si>
  <si>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</si>
  <si>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</si>
  <si>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</si>
  <si>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</si>
  <si>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</si>
  <si>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</si>
  <si>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</si>
  <si>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</si>
  <si>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</si>
  <si>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</si>
  <si>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</si>
  <si>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</si>
  <si>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</si>
  <si>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</si>
  <si>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</si>
  <si>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</si>
  <si>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</si>
  <si>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</si>
  <si>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</si>
  <si>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</si>
  <si>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</si>
  <si>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</si>
  <si>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</si>
  <si>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</si>
  <si>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</si>
  <si>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</si>
  <si>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</si>
  <si>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</si>
  <si>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</si>
  <si>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</si>
  <si>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</si>
  <si>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</si>
  <si>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</si>
  <si>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</si>
  <si>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</si>
  <si>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</si>
  <si>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</si>
  <si>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</si>
  <si>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</si>
  <si>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</si>
  <si>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</si>
  <si>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</si>
  <si>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</si>
  <si>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</si>
  <si>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</si>
  <si>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</si>
  <si>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</si>
  <si>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</si>
  <si>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</si>
  <si>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</si>
  <si>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</si>
  <si>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</si>
  <si>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</si>
  <si>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</si>
  <si>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</si>
  <si>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</si>
  <si>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</si>
  <si>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</si>
  <si>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</si>
  <si>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</si>
  <si>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</si>
  <si>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</si>
  <si>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</si>
  <si>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</si>
  <si>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</si>
  <si>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</si>
  <si>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</si>
  <si>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</si>
  <si>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</si>
  <si>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</si>
  <si>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</si>
  <si>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</si>
  <si>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</si>
  <si>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</si>
  <si>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</si>
  <si>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</si>
  <si>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</si>
  <si>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</si>
  <si>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</si>
  <si>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</si>
  <si>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</si>
  <si>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</si>
  <si>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</si>
  <si>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</si>
  <si>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</si>
  <si>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</si>
  <si>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</si>
  <si>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</si>
  <si>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</si>
  <si>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</si>
  <si>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</si>
  <si>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</si>
  <si>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</si>
  <si>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</si>
  <si>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</si>
  <si>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</si>
  <si>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</si>
  <si>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</si>
  <si>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</si>
  <si>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</si>
  <si>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</si>
  <si>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</si>
  <si>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</si>
  <si>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</si>
  <si>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</si>
  <si>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</si>
  <si>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</si>
  <si>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</si>
  <si>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</si>
  <si>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</si>
  <si>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</si>
  <si>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</si>
  <si>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</si>
  <si>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</si>
  <si>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</si>
  <si>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</si>
  <si>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</si>
  <si>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</si>
  <si>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</si>
  <si>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</si>
  <si>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</si>
  <si>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</si>
  <si>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</si>
  <si>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</si>
  <si>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</si>
  <si>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</si>
  <si>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</si>
  <si>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</si>
  <si>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</si>
  <si>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</si>
  <si>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</si>
  <si>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</si>
  <si>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</si>
  <si>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</si>
  <si>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</si>
  <si>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</si>
  <si>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</si>
  <si>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</si>
  <si>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</si>
  <si>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</si>
  <si>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</si>
  <si>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</si>
  <si>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</si>
  <si>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</si>
  <si>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</si>
  <si>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</si>
  <si>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</si>
  <si>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</si>
  <si>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</si>
  <si>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</si>
  <si>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</si>
  <si>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</si>
  <si>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</si>
  <si>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</si>
  <si>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</si>
  <si>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</si>
  <si>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</si>
  <si>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</si>
  <si>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</si>
  <si>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</si>
  <si>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</si>
  <si>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</si>
  <si>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</si>
  <si>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</si>
  <si>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</si>
  <si>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</si>
  <si>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</si>
  <si>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</si>
  <si>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</si>
  <si>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</si>
  <si>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</si>
  <si>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</si>
  <si>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</si>
  <si>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</si>
  <si>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</si>
  <si>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</si>
  <si>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</si>
  <si>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</si>
  <si>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</si>
  <si>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</si>
  <si>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</si>
  <si>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</si>
  <si>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</si>
  <si>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</si>
  <si>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</si>
  <si>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</si>
  <si>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</si>
  <si>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</si>
  <si>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</si>
  <si>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</si>
  <si>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</si>
  <si>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</si>
  <si>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</si>
  <si>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</si>
  <si>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</si>
  <si>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</si>
  <si>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</si>
  <si>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</si>
  <si>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</si>
  <si>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</si>
  <si>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</si>
  <si>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</si>
  <si>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</si>
  <si>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</si>
  <si>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</si>
  <si>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</si>
  <si>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</si>
  <si>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</si>
  <si>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</si>
  <si>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</si>
  <si>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</si>
  <si>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</si>
  <si>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</si>
  <si>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</si>
  <si>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</si>
  <si>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</si>
  <si>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</si>
  <si>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</si>
  <si>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</si>
  <si>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</si>
  <si>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</si>
  <si>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</si>
  <si>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</si>
  <si>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</si>
  <si>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</si>
  <si>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</si>
  <si>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</si>
  <si>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</si>
  <si>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</si>
  <si>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</si>
  <si>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</si>
  <si>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</si>
  <si>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</si>
  <si>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</si>
  <si>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</si>
  <si>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</si>
  <si>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</si>
  <si>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</si>
  <si>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</si>
  <si>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</si>
  <si>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</si>
  <si>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</si>
  <si>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</si>
  <si>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</si>
  <si>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</si>
  <si>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</si>
  <si>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</si>
  <si>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</si>
  <si>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</si>
  <si>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</si>
  <si>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</si>
  <si>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</si>
  <si>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</si>
  <si>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</si>
  <si>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</si>
  <si>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</si>
  <si>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</si>
  <si>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</si>
  <si>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</si>
  <si>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</si>
  <si>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</si>
  <si>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</si>
  <si>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</si>
  <si>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</si>
  <si>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</si>
  <si>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</si>
  <si>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</si>
  <si>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</si>
  <si>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</si>
  <si>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</si>
  <si>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</si>
  <si>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</si>
  <si>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</si>
  <si>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</si>
  <si>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</si>
  <si>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</si>
  <si>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</si>
  <si>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</si>
  <si>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</si>
  <si>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</si>
  <si>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</si>
  <si>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</si>
  <si>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</si>
  <si>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</si>
  <si>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</si>
  <si>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</si>
  <si>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</si>
  <si>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</si>
  <si>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</si>
  <si>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</si>
  <si>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</si>
  <si>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</si>
  <si>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</si>
  <si>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</si>
  <si>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</si>
  <si>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</si>
  <si>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</si>
  <si>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</si>
  <si>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</si>
  <si>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</si>
  <si>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</si>
  <si>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</si>
  <si>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</si>
  <si>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</si>
  <si>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</si>
  <si>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</si>
  <si>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</si>
  <si>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</si>
  <si>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</si>
  <si>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</si>
  <si>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</si>
  <si>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</si>
  <si>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</si>
  <si>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</si>
  <si>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</si>
  <si>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</si>
  <si>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</si>
  <si>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</si>
  <si>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</si>
  <si>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</si>
  <si>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</si>
  <si>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</si>
  <si>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</si>
  <si>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</si>
  <si>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</si>
  <si>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</si>
  <si>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</si>
  <si>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</si>
  <si>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</si>
  <si>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</si>
  <si>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</si>
  <si>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</si>
  <si>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</si>
  <si>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</si>
  <si>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</si>
  <si>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</si>
  <si>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</si>
  <si>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</si>
  <si>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</si>
  <si>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</si>
  <si>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</si>
  <si>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</si>
  <si>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</si>
  <si>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</si>
  <si>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</si>
  <si>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</si>
  <si>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</si>
  <si>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</si>
  <si>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</si>
  <si>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</si>
  <si>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</si>
  <si>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</si>
  <si>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</si>
  <si>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</si>
  <si>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</si>
  <si>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</si>
  <si>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</si>
  <si>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</si>
  <si>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</si>
  <si>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</si>
  <si>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</si>
  <si>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</si>
  <si>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</si>
  <si>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</si>
  <si>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</si>
  <si>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</si>
  <si>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</si>
  <si>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</si>
  <si>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</si>
  <si>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</si>
  <si>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</si>
  <si>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</si>
  <si>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</si>
  <si>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</si>
  <si>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</si>
  <si>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</si>
  <si>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</si>
  <si>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</si>
  <si>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</si>
  <si>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</si>
  <si>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</si>
  <si>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</si>
  <si>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</si>
  <si>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</si>
  <si>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</si>
  <si>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</si>
  <si>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</si>
  <si>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</si>
  <si>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</si>
  <si>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</si>
  <si>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</si>
  <si>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</si>
  <si>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</si>
  <si>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</si>
  <si>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</si>
  <si>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</si>
  <si>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</si>
  <si>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</si>
  <si>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</si>
  <si>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</si>
  <si>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</si>
  <si>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</si>
  <si>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</si>
  <si>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</si>
  <si>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</si>
  <si>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</si>
  <si>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</si>
  <si>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</si>
  <si>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</si>
  <si>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</si>
  <si>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</si>
  <si>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</si>
  <si>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</si>
  <si>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</si>
  <si>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</si>
  <si>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</si>
  <si>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梁津</t>
  </si>
  <si>
    <t>欧红伟</t>
  </si>
  <si>
    <t>抵押</t>
  </si>
  <si>
    <t>房地产抵押价值</t>
  </si>
  <si>
    <t>北京市</t>
  </si>
  <si>
    <t>企业</t>
  </si>
  <si>
    <t>出让</t>
  </si>
  <si>
    <t>是</t>
  </si>
  <si>
    <t>否</t>
  </si>
  <si>
    <t>复印件</t>
  </si>
  <si>
    <t>工业项目</t>
  </si>
  <si>
    <t>无</t>
  </si>
  <si>
    <t>现房</t>
  </si>
  <si>
    <t>通路</t>
  </si>
  <si>
    <t>通电</t>
  </si>
  <si>
    <t>通讯</t>
  </si>
  <si>
    <t>通上水</t>
  </si>
  <si>
    <t>通下水</t>
  </si>
  <si>
    <t>燃气</t>
  </si>
  <si>
    <t>北京星箭长空测控技术股份有限公司</t>
    <phoneticPr fontId="6" type="noConversion"/>
  </si>
  <si>
    <r>
      <t>1</t>
    </r>
    <r>
      <rPr>
        <sz val="10"/>
        <color indexed="8"/>
        <rFont val="宋体"/>
        <family val="3"/>
        <charset val="134"/>
      </rPr>
      <t>幢</t>
    </r>
    <r>
      <rPr>
        <sz val="10"/>
        <color indexed="8"/>
        <rFont val="Arial"/>
        <family val="2"/>
      </rPr>
      <t>1-5</t>
    </r>
    <r>
      <rPr>
        <sz val="10"/>
        <color indexed="8"/>
        <rFont val="宋体"/>
        <family val="3"/>
        <charset val="134"/>
      </rPr>
      <t>层</t>
    </r>
    <phoneticPr fontId="3" type="noConversion"/>
  </si>
  <si>
    <t>地上</t>
  </si>
  <si>
    <t>车间</t>
  </si>
  <si>
    <t>车间</t>
    <phoneticPr fontId="16" type="noConversion"/>
  </si>
  <si>
    <r>
      <t>2</t>
    </r>
    <r>
      <rPr>
        <sz val="10"/>
        <color indexed="8"/>
        <rFont val="宋体"/>
        <family val="3"/>
        <charset val="134"/>
      </rPr>
      <t>幢</t>
    </r>
    <r>
      <rPr>
        <sz val="10"/>
        <color indexed="8"/>
        <rFont val="Arial"/>
        <family val="2"/>
      </rPr>
      <t>1-3</t>
    </r>
    <r>
      <rPr>
        <sz val="10"/>
        <color indexed="8"/>
        <rFont val="宋体"/>
        <family val="3"/>
        <charset val="134"/>
      </rPr>
      <t>层</t>
    </r>
    <phoneticPr fontId="3" type="noConversion"/>
  </si>
  <si>
    <r>
      <t>3</t>
    </r>
    <r>
      <rPr>
        <sz val="10"/>
        <color indexed="8"/>
        <rFont val="宋体"/>
        <family val="3"/>
        <charset val="134"/>
      </rPr>
      <t>幢</t>
    </r>
    <r>
      <rPr>
        <sz val="10"/>
        <color indexed="8"/>
        <rFont val="Arial"/>
        <family val="2"/>
      </rPr>
      <t>1-2</t>
    </r>
    <r>
      <rPr>
        <sz val="10"/>
        <color indexed="8"/>
        <rFont val="宋体"/>
        <family val="3"/>
        <charset val="134"/>
      </rPr>
      <t>层</t>
    </r>
    <phoneticPr fontId="3" type="noConversion"/>
  </si>
  <si>
    <r>
      <t>4</t>
    </r>
    <r>
      <rPr>
        <sz val="10"/>
        <color indexed="8"/>
        <rFont val="宋体"/>
        <family val="3"/>
        <charset val="134"/>
      </rPr>
      <t>幢</t>
    </r>
    <r>
      <rPr>
        <sz val="10"/>
        <color indexed="8"/>
        <rFont val="Arial"/>
        <family val="2"/>
      </rPr>
      <t>1-4</t>
    </r>
    <r>
      <rPr>
        <sz val="10"/>
        <color indexed="8"/>
        <rFont val="宋体"/>
        <family val="3"/>
        <charset val="134"/>
      </rPr>
      <t>层</t>
    </r>
    <phoneticPr fontId="3" type="noConversion"/>
  </si>
  <si>
    <r>
      <t>5</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</si>
  <si>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6</t>
    </r>
    <r>
      <rPr>
        <sz val="11"/>
        <color indexed="8"/>
        <rFont val="宋体"/>
        <family val="3"/>
        <charset val="134"/>
      </rPr>
      <t>幢</t>
    </r>
    <r>
      <rPr>
        <sz val="11"/>
        <color indexed="8"/>
        <rFont val="Arial"/>
        <family val="2"/>
      </rPr>
      <t>1-2</t>
    </r>
    <r>
      <rPr>
        <sz val="11"/>
        <color indexed="8"/>
        <rFont val="宋体"/>
        <family val="3"/>
        <charset val="134"/>
      </rPr>
      <t>层</t>
    </r>
    <phoneticPr fontId="3" type="noConversion"/>
  </si>
  <si>
    <t>车间</t>
    <phoneticPr fontId="7" type="noConversion"/>
  </si>
  <si>
    <t>成新度</t>
  </si>
  <si>
    <t>收益法</t>
  </si>
  <si>
    <t>工业用地</t>
  </si>
  <si>
    <t>不临58条商业街</t>
  </si>
  <si>
    <t>六通一平</t>
  </si>
  <si>
    <t>增加</t>
  </si>
  <si>
    <t>按公示增长率计算</t>
  </si>
  <si>
    <t>容积率修正</t>
  </si>
  <si>
    <t>宗地形状较规则</t>
    <phoneticPr fontId="79" type="noConversion"/>
  </si>
  <si>
    <t>较好</t>
  </si>
  <si>
    <t>城市次干道——白马路</t>
    <phoneticPr fontId="25" type="noConversion"/>
  </si>
  <si>
    <t>单面临街</t>
  </si>
  <si>
    <t>较一致</t>
    <phoneticPr fontId="25" type="noConversion"/>
  </si>
  <si>
    <t>较好</t>
    <phoneticPr fontId="41" type="noConversion"/>
  </si>
  <si>
    <t>一般</t>
  </si>
  <si>
    <t>一般</t>
    <phoneticPr fontId="41" type="noConversion"/>
  </si>
  <si>
    <t>五通</t>
    <phoneticPr fontId="25" type="noConversion"/>
  </si>
  <si>
    <t>未包含在土地购买价格中</t>
  </si>
  <si>
    <t>全部缴纳</t>
  </si>
  <si>
    <t>已包含在土地取得成本中</t>
  </si>
  <si>
    <t>押一</t>
  </si>
  <si>
    <t>钢</t>
  </si>
  <si>
    <t>生产用房</t>
  </si>
  <si>
    <t>成本法</t>
  </si>
  <si>
    <t>成本比率</t>
  </si>
  <si>
    <r>
      <rPr>
        <sz val="12"/>
        <color theme="9" tint="-0.249977111117893"/>
        <rFont val="宋体"/>
        <family val="3"/>
        <charset val="134"/>
      </rPr>
      <t>顺义区白马路马坡段</t>
    </r>
    <r>
      <rPr>
        <sz val="12"/>
        <color theme="9" tint="-0.249977111117893"/>
        <rFont val="Arial"/>
        <family val="2"/>
      </rPr>
      <t>60</t>
    </r>
    <r>
      <rPr>
        <sz val="12"/>
        <color theme="9" tint="-0.249977111117893"/>
        <rFont val="宋体"/>
        <family val="3"/>
        <charset val="134"/>
      </rPr>
      <t>号院</t>
    </r>
    <r>
      <rPr>
        <sz val="12"/>
        <color theme="9" tint="-0.249977111117893"/>
        <rFont val="Arial"/>
        <family val="2"/>
      </rPr>
      <t>1-6</t>
    </r>
    <r>
      <rPr>
        <sz val="12"/>
        <color theme="9" tint="-0.249977111117893"/>
        <rFont val="宋体"/>
        <family val="3"/>
        <charset val="134"/>
      </rPr>
      <t>幢工业用房</t>
    </r>
    <phoneticPr fontId="6" type="noConversion"/>
  </si>
  <si>
    <t>2018-1-E000257</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</si>
</sst>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41" fillId="0" borderId="13"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1218</v>
      </c>
      <c r="B1" s="1588" t="s">
        <v>1297</v>
      </c>
    </row>
    <row r="2" spans="1:2" s="1593" customFormat="1" ht="15" thickTop="1">
      <c r="A2" s="1591" t="s">
        <v>1219</v>
      </c>
      <c r="B2" s="1592" t="str">
        <f>'预评函-封皮'!B37:I37</f>
        <v>北京市顺义区白马路马坡段60号院1-6幢工业用房房地产抵押价值预评估</v>
      </c>
    </row>
    <row r="3" spans="1:2" s="1596" customFormat="1">
      <c r="A3" s="1594" t="s">
        <v>1220</v>
      </c>
      <c r="B3" s="1595" t="str">
        <f>'预评函-封皮'!B40</f>
        <v>北京星箭长空测控技术股份有限公司</v>
      </c>
    </row>
    <row r="4" spans="1:2" s="1596" customFormat="1">
      <c r="A4" s="1594" t="s">
        <v>1221</v>
      </c>
      <c r="B4" s="1595" t="str">
        <f ca="1">'预评函-封皮'!B46</f>
        <v>梁津（注册号：1119970066)、欧红伟（注册号：1120000080)</v>
      </c>
    </row>
    <row r="5" spans="1:2" s="1590" customFormat="1" ht="15" thickBot="1">
      <c r="A5" s="1597" t="s">
        <v>1222</v>
      </c>
      <c r="B5" s="1598" t="str">
        <f>'预评函-封皮'!B49</f>
        <v>康正预评字2018-1-E000257号</v>
      </c>
    </row>
    <row r="6" spans="1:2" s="1593" customFormat="1" ht="15" thickTop="1">
      <c r="A6" s="1591" t="s">
        <v>1223</v>
      </c>
      <c r="B6" s="1592" t="str">
        <f>'预评函-1'!A4</f>
        <v>受贵公司委托，我公司对北京市顺义区白马路马坡段60号院1-6幢工业用房房地产抵押价值进行了预评估。</v>
      </c>
    </row>
    <row r="7" spans="1:2" s="1596" customFormat="1">
      <c r="A7" s="1594" t="s">
        <v>1263</v>
      </c>
      <c r="B7" s="1595" t="str">
        <f>'预评函-1'!A7</f>
        <v>估价对象为北京市顺义区白马路马坡段60号院1-6幢工业用房房地产，为北京星箭长空测控技术股份有限公司所有。根据《国有土地使用证》[]，估价对象（分摊）出让国有建设用地使用权面积为13177.7平方米，建筑面积为16346.35平方米。</v>
      </c>
    </row>
    <row r="8" spans="1:2" s="1596" customFormat="1">
      <c r="A8" s="1594" t="s">
        <v>1264</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1265</v>
      </c>
      <c r="B9" s="1595" t="str">
        <f>'预评函-1'!A10</f>
        <v>估价对象为北京市顺义区白马路马坡段60号院1-6幢工业用房房地产,属北京星箭长空测控技术股份有限公司开发建设的工业项目，该项目尚在开发建设中。根据《国有土地使用证》[]，估价对象（分摊）出让国有建设用地使用权面积为13177.7平方米，规划建筑面积为16346.35平方米。</v>
      </c>
    </row>
    <row r="10" spans="1:2" s="1596" customFormat="1">
      <c r="A10" s="1594" t="s">
        <v>1266</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1224</v>
      </c>
      <c r="B11" s="1595" t="str">
        <f>'预评函-1'!A13</f>
        <v>为估价委托人在向办理贷款手续过程中，确定房地产抵押贷款额度提供参考依据而评估房地产抵押价值。</v>
      </c>
    </row>
    <row r="12" spans="1:2" s="1596" customFormat="1">
      <c r="A12" s="1594" t="s">
        <v>1225</v>
      </c>
      <c r="B12" s="1595" t="str">
        <f>'预评函-1'!A15</f>
        <v>2018年4月10日（评估专业人员实地查勘之日）</v>
      </c>
    </row>
    <row r="13" spans="1:2" s="1596" customFormat="1">
      <c r="A13" s="1594" t="s">
        <v>1226</v>
      </c>
      <c r="B13" s="1595" t="str">
        <f>'预评函-1'!A18</f>
        <v>本次估价的“房地产价值”是指在正常市场情况下，在价值时点2018年4月10日，估价对象规划用途为，土地取得方式为出让，出让国有建设用地使用权剩余土地使用年限为，假定未设立法定优先受偿款下的房地产市场价值。</v>
      </c>
    </row>
    <row r="14" spans="1:2" s="1596" customFormat="1">
      <c r="A14" s="1594" t="s">
        <v>1227</v>
      </c>
      <c r="B14" s="159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1228</v>
      </c>
      <c r="B15" s="1595" t="str">
        <f>'预评函-1'!A20</f>
        <v>本次估价的“房地产抵押价值”是指估价对象在价值时点的“房地产价值”扣减估价师于价值时点所知悉的法定优先受偿款后的余额。</v>
      </c>
    </row>
    <row r="16" spans="1:2" s="1596" customFormat="1">
      <c r="A16" s="1594" t="s">
        <v>1229</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1230</v>
      </c>
      <c r="B17" s="1595" t="str">
        <f>'预评函-1'!A22</f>
        <v/>
      </c>
    </row>
    <row r="18" spans="1:2" s="1590" customFormat="1" ht="15" thickBot="1">
      <c r="A18" s="1597" t="s">
        <v>1231</v>
      </c>
      <c r="B18" s="1598" t="str">
        <f>'预评函-1'!A24</f>
        <v>本次评估采用的主估价方法为成本法和收益法。</v>
      </c>
    </row>
    <row r="19" spans="1:2" s="1593" customFormat="1" ht="15" thickTop="1">
      <c r="A19" s="1591" t="s">
        <v>1232</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1233</v>
      </c>
      <c r="B20" s="1595">
        <f ca="1">'预评函-2'!D5</f>
        <v>10036</v>
      </c>
    </row>
    <row r="21" spans="1:2" s="1596" customFormat="1">
      <c r="A21" s="1594" t="s">
        <v>1234</v>
      </c>
      <c r="B21" s="1595">
        <f ca="1">'预评函-2'!D7</f>
        <v>6140</v>
      </c>
    </row>
    <row r="22" spans="1:2" s="1596" customFormat="1">
      <c r="A22" s="1594" t="s">
        <v>1235</v>
      </c>
      <c r="B22" s="1595" t="str">
        <f ca="1">'预评函-2'!D6</f>
        <v>壹亿零叁拾陆万元整</v>
      </c>
    </row>
    <row r="23" spans="1:2" s="1596" customFormat="1">
      <c r="A23" s="1594" t="s">
        <v>1286</v>
      </c>
      <c r="B23" s="1595" t="str">
        <f>'预评函-2'!B8</f>
        <v>2.估价师知悉的法定优先受偿款</v>
      </c>
    </row>
    <row r="24" spans="1:2" s="1596" customFormat="1">
      <c r="A24" s="1594" t="s">
        <v>1292</v>
      </c>
      <c r="B24" s="1595">
        <f>'预评函-2'!D8</f>
        <v>0</v>
      </c>
    </row>
    <row r="25" spans="1:2" s="1596" customFormat="1">
      <c r="A25" s="1594" t="s">
        <v>1236</v>
      </c>
      <c r="B25" s="1595" t="str">
        <f>'预评函-2'!D9</f>
        <v>零元整</v>
      </c>
    </row>
    <row r="26" spans="1:2" s="1596" customFormat="1">
      <c r="A26" s="1594" t="s">
        <v>1237</v>
      </c>
      <c r="B26" s="1595">
        <f>'预评函-2'!D10</f>
        <v>0</v>
      </c>
    </row>
    <row r="27" spans="1:2" s="1596" customFormat="1">
      <c r="A27" s="1594" t="s">
        <v>1238</v>
      </c>
      <c r="B27" s="1595">
        <f>'预评函-2'!D11</f>
        <v>0</v>
      </c>
    </row>
    <row r="28" spans="1:2" s="1596" customFormat="1">
      <c r="A28" s="1594" t="s">
        <v>1239</v>
      </c>
      <c r="B28" s="1595">
        <f>'预评函-2'!D12</f>
        <v>0</v>
      </c>
    </row>
    <row r="29" spans="1:2" s="1596" customFormat="1">
      <c r="A29" s="1594" t="s">
        <v>1290</v>
      </c>
      <c r="B29" s="1595" t="str">
        <f>'预评函-2'!B13</f>
        <v>3.房地产抵押价值</v>
      </c>
    </row>
    <row r="30" spans="1:2" s="1596" customFormat="1">
      <c r="A30" s="1594" t="s">
        <v>1291</v>
      </c>
      <c r="B30" s="1595">
        <f ca="1">'预评函-2'!D13</f>
        <v>10036</v>
      </c>
    </row>
    <row r="31" spans="1:2" s="1596" customFormat="1">
      <c r="A31" s="1594" t="s">
        <v>1273</v>
      </c>
      <c r="B31" s="1595">
        <f ca="1">'预评函-2'!D15</f>
        <v>6140</v>
      </c>
    </row>
    <row r="32" spans="1:2" s="1596" customFormat="1">
      <c r="A32" s="1594" t="s">
        <v>1240</v>
      </c>
      <c r="B32" s="1595" t="str">
        <f ca="1">'预评函-2'!D14</f>
        <v>壹亿零叁拾陆万元整</v>
      </c>
    </row>
    <row r="33" spans="1:2" s="1596" customFormat="1">
      <c r="A33" s="1594" t="s">
        <v>1275</v>
      </c>
      <c r="B33" s="1595" t="str">
        <f>'预评函-2'!B16</f>
        <v>——</v>
      </c>
    </row>
    <row r="34" spans="1:2" s="1596" customFormat="1">
      <c r="A34" s="1594" t="s">
        <v>1293</v>
      </c>
      <c r="B34" s="1595" t="str">
        <f>'预评函-2'!D16</f>
        <v>——</v>
      </c>
    </row>
    <row r="35" spans="1:2" s="1596" customFormat="1">
      <c r="A35" s="1594" t="s">
        <v>1274</v>
      </c>
      <c r="B35" s="1595" t="str">
        <f>'预评函-2'!D18</f>
        <v>——</v>
      </c>
    </row>
    <row r="36" spans="1:2" s="1596" customFormat="1">
      <c r="A36" s="1594" t="s">
        <v>1241</v>
      </c>
      <c r="B36" s="1595" t="e">
        <f>'预评函-2'!D17</f>
        <v>#VALUE!</v>
      </c>
    </row>
    <row r="37" spans="1:2" s="1596" customFormat="1">
      <c r="A37" s="1594" t="s">
        <v>1276</v>
      </c>
      <c r="B37" s="1595" t="str">
        <f>'预评函-2'!B19</f>
        <v>——</v>
      </c>
    </row>
    <row r="38" spans="1:2" s="1596" customFormat="1">
      <c r="A38" s="1594" t="s">
        <v>1294</v>
      </c>
      <c r="B38" s="1595" t="str">
        <f>'预评函-2'!D19</f>
        <v>——</v>
      </c>
    </row>
    <row r="39" spans="1:2" s="1596" customFormat="1">
      <c r="A39" s="1594" t="s">
        <v>1242</v>
      </c>
      <c r="B39" s="1595" t="str">
        <f>'预评函-2'!D21</f>
        <v>——</v>
      </c>
    </row>
    <row r="40" spans="1:2" s="1596" customFormat="1">
      <c r="A40" s="1594" t="s">
        <v>1243</v>
      </c>
      <c r="B40" s="1595" t="e">
        <f>'预评函-2'!D20</f>
        <v>#VALUE!</v>
      </c>
    </row>
    <row r="41" spans="1:2" s="1596" customFormat="1">
      <c r="A41" s="1594" t="s">
        <v>1289</v>
      </c>
      <c r="B41" s="1595" t="str">
        <f>'预评函-3'!A4</f>
        <v>北京市顺义区白马路马坡段60号院1-6幢工业用房房地产</v>
      </c>
    </row>
    <row r="42" spans="1:2" s="1596" customFormat="1">
      <c r="A42" s="1594" t="s">
        <v>1287</v>
      </c>
      <c r="B42" s="1595" t="str">
        <f>'预评函-3'!B2</f>
        <v>建筑面积</v>
      </c>
    </row>
    <row r="43" spans="1:2" s="1596" customFormat="1">
      <c r="A43" s="1594" t="s">
        <v>1288</v>
      </c>
      <c r="B43" s="1595">
        <f>'预评函-3'!B4</f>
        <v>16346.349999999999</v>
      </c>
    </row>
    <row r="44" spans="1:2" s="1596" customFormat="1">
      <c r="A44" s="1594" t="s">
        <v>1272</v>
      </c>
      <c r="B44" s="1595" t="str">
        <f>'预评函-3'!C2</f>
        <v>(分摊)土地面积</v>
      </c>
    </row>
    <row r="45" spans="1:2" s="1596" customFormat="1">
      <c r="A45" s="1594" t="s">
        <v>1244</v>
      </c>
      <c r="B45" s="1595">
        <f>'预评函-3'!C4</f>
        <v>13177.7</v>
      </c>
    </row>
    <row r="46" spans="1:2" s="1596" customFormat="1">
      <c r="A46" s="1594" t="s">
        <v>1270</v>
      </c>
      <c r="B46" s="1595" t="str">
        <f>'预评函-3'!D2</f>
        <v>出让国有建设用地使用权价值</v>
      </c>
    </row>
    <row r="47" spans="1:2" s="1596" customFormat="1">
      <c r="A47" s="1594" t="s">
        <v>1245</v>
      </c>
      <c r="B47" s="1595">
        <f ca="1">'预评函-3'!D4</f>
        <v>2910</v>
      </c>
    </row>
    <row r="48" spans="1:2" s="1596" customFormat="1">
      <c r="A48" s="1594" t="s">
        <v>1246</v>
      </c>
      <c r="B48" s="1595">
        <f ca="1">'预评函-3'!E4</f>
        <v>1781</v>
      </c>
    </row>
    <row r="49" spans="1:2" s="1596" customFormat="1">
      <c r="A49" s="1594" t="s">
        <v>1247</v>
      </c>
      <c r="B49" s="1595" t="str">
        <f ca="1">'预评函-3'!D5</f>
        <v>贰仟玖佰壹拾万元整</v>
      </c>
    </row>
    <row r="50" spans="1:2" s="1596" customFormat="1">
      <c r="A50" s="1594" t="s">
        <v>1271</v>
      </c>
      <c r="B50" s="1595" t="str">
        <f>'预评函-3'!F2</f>
        <v>在建建筑物价值</v>
      </c>
    </row>
    <row r="51" spans="1:2" s="1596" customFormat="1">
      <c r="A51" s="1594" t="s">
        <v>1248</v>
      </c>
      <c r="B51" s="1595">
        <f ca="1">'预评函-3'!F4</f>
        <v>7126</v>
      </c>
    </row>
    <row r="52" spans="1:2" s="1596" customFormat="1">
      <c r="A52" s="1594" t="s">
        <v>1249</v>
      </c>
      <c r="B52" s="1595">
        <f ca="1">'预评函-3'!G4</f>
        <v>4359</v>
      </c>
    </row>
    <row r="53" spans="1:2" s="1596" customFormat="1">
      <c r="A53" s="1594" t="s">
        <v>1277</v>
      </c>
      <c r="B53" s="1595" t="str">
        <f ca="1">'预评函-3'!F5</f>
        <v>柒仟壹佰贰拾陆万元整</v>
      </c>
    </row>
    <row r="54" spans="1:2" s="1596" customFormat="1">
      <c r="A54" s="1594" t="s">
        <v>1295</v>
      </c>
      <c r="B54" s="1595" t="str">
        <f>'预评函-3'!A8</f>
        <v>房地产抵押价值</v>
      </c>
    </row>
    <row r="55" spans="1:2" s="1596" customFormat="1">
      <c r="A55" s="1594" t="s">
        <v>1278</v>
      </c>
      <c r="B55" s="1595" t="str">
        <f>'预评函-3'!A10</f>
        <v/>
      </c>
    </row>
    <row r="56" spans="1:2" s="1596" customFormat="1">
      <c r="A56" s="1594" t="s">
        <v>1279</v>
      </c>
      <c r="B56" s="1595" t="str">
        <f>'预评函-3'!A12</f>
        <v/>
      </c>
    </row>
    <row r="57" spans="1:2" s="1590" customFormat="1" ht="15" thickBot="1">
      <c r="A57" s="1597" t="s">
        <v>1296</v>
      </c>
      <c r="B57" s="1598" t="str">
        <f>'预评函-3'!A6</f>
        <v>估价师知悉的法定优先受偿款</v>
      </c>
    </row>
    <row r="58" spans="1:2" s="1593" customFormat="1" ht="15" thickTop="1">
      <c r="A58" s="1591" t="s">
        <v>1250</v>
      </c>
      <c r="B58" s="1592" t="str">
        <f>'预评函-4'!A12</f>
        <v>2.本《评估意见函》仅供金融机构进行内部审核使用，不做其他目的之用。</v>
      </c>
    </row>
    <row r="59" spans="1:2" s="1596" customFormat="1">
      <c r="A59" s="1594" t="s">
        <v>1251</v>
      </c>
      <c r="B59" s="1595" t="str">
        <f>'预评函-4'!A13</f>
        <v>3.抵押双方在办理抵押登记手续时，应使用本公司出具的正式《房地产评估报告》，特提醒报告使用者注意。</v>
      </c>
    </row>
    <row r="60" spans="1:2" s="1596" customFormat="1">
      <c r="A60" s="1594" t="s">
        <v>1252</v>
      </c>
      <c r="B60" s="1595" t="str">
        <f>'预评函-4'!A14</f>
        <v>4.本次评估估价师所知悉的法定优先受偿款情况说明如下：</v>
      </c>
    </row>
    <row r="61" spans="1:2" s="1596" customFormat="1">
      <c r="A61" s="1594" t="s">
        <v>1253</v>
      </c>
      <c r="B61" s="1595" t="str">
        <f>'预评函-4'!A15</f>
        <v>（1）根据估价对象《房屋所有权证》复印件、《国有土地使用权》复印件，截至价值时点，估价对象抵押权未见登记。</v>
      </c>
    </row>
    <row r="62" spans="1:2" s="1596" customFormat="1">
      <c r="A62" s="1594" t="s">
        <v>1254</v>
      </c>
      <c r="B62" s="1595" t="str">
        <f>'预评函-4'!A16</f>
        <v>（2）根据《工程款支付情况说明》，截至价值时点，估价对象不存在应付未付工程款项。（只要没有施工方盖章的，均“设定”进行表述）</v>
      </c>
    </row>
    <row r="63" spans="1:2" s="1596" customFormat="1">
      <c r="A63" s="1594" t="s">
        <v>1255</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1267</v>
      </c>
      <c r="B64" s="1595" t="str">
        <f>'预评函-4'!A18</f>
        <v>故，本次评估不存在估价师知悉的法定优先受偿款</v>
      </c>
    </row>
    <row r="65" spans="1:2" s="1596" customFormat="1">
      <c r="A65" s="1594" t="s">
        <v>1256</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1257</v>
      </c>
      <c r="B66" s="1595" t="str">
        <f>'预评函-4'!A20</f>
        <v>——</v>
      </c>
    </row>
    <row r="67" spans="1:2" s="1596" customFormat="1">
      <c r="A67" s="1594" t="s">
        <v>1268</v>
      </c>
      <c r="B67" s="1595" t="str">
        <f>'预评函-4'!A21</f>
        <v>——</v>
      </c>
    </row>
    <row r="68" spans="1:2" s="1596" customFormat="1">
      <c r="A68" s="1594" t="s">
        <v>1269</v>
      </c>
      <c r="B68" s="1595" t="str">
        <f>'预评函-4'!A22</f>
        <v>8.其他需特殊说明事项：无（注意调整序号）</v>
      </c>
    </row>
    <row r="69" spans="1:2" s="1590" customFormat="1" ht="15" thickBot="1">
      <c r="A69" s="1597" t="s">
        <v>1258</v>
      </c>
      <c r="B69" s="1599">
        <f>'预评函-4'!C31</f>
        <v>42551</v>
      </c>
    </row>
    <row r="70" spans="1:2" ht="15" thickTop="1">
      <c r="A70" s="1600" t="s">
        <v>1259</v>
      </c>
      <c r="B70" s="1601" t="str">
        <f>'预评函-4'!A4</f>
        <v>梁津</v>
      </c>
    </row>
    <row r="71" spans="1:2">
      <c r="A71" s="1594" t="s">
        <v>1260</v>
      </c>
      <c r="B71" s="1595">
        <f ca="1">'预评函-4'!B4</f>
        <v>1119970066</v>
      </c>
    </row>
    <row r="72" spans="1:2">
      <c r="A72" s="1594" t="s">
        <v>1261</v>
      </c>
      <c r="B72" s="1603" t="str">
        <f>'预评函-4'!A5</f>
        <v>欧红伟</v>
      </c>
    </row>
    <row r="73" spans="1:2" s="1590" customFormat="1" ht="15" thickBot="1">
      <c r="A73" s="1597" t="s">
        <v>1262</v>
      </c>
      <c r="B73" s="1598">
        <f ca="1">'预评函-4'!B5</f>
        <v>1120000080</v>
      </c>
    </row>
    <row r="74" spans="1:2" ht="15" thickTop="1">
      <c r="A74" s="1587" t="s">
        <v>1298</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12" sqref="A12"/>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70</v>
      </c>
      <c r="B1" s="2011" t="s">
        <v>1689</v>
      </c>
      <c r="C1" s="2012" t="s">
        <v>758</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752</v>
      </c>
      <c r="Q1" s="2014" t="s">
        <v>1143</v>
      </c>
      <c r="R1" s="2013" t="s">
        <v>1137</v>
      </c>
      <c r="S1" s="2013" t="s">
        <v>1702</v>
      </c>
      <c r="T1" s="2015" t="s">
        <v>1703</v>
      </c>
      <c r="U1" s="2013" t="s">
        <v>1704</v>
      </c>
      <c r="V1" s="2013" t="s">
        <v>1705</v>
      </c>
      <c r="W1" s="2013" t="s">
        <v>754</v>
      </c>
    </row>
    <row r="2" spans="1:23">
      <c r="A2" s="2017" t="s">
        <v>3043</v>
      </c>
      <c r="B2" s="2017" t="s">
        <v>1706</v>
      </c>
      <c r="C2" s="2018" t="s">
        <v>759</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1139</v>
      </c>
      <c r="S2" s="2019" t="s">
        <v>1712</v>
      </c>
      <c r="T2" s="2019" t="s">
        <v>1713</v>
      </c>
      <c r="U2" s="2019" t="s">
        <v>1712</v>
      </c>
      <c r="V2" s="2019" t="s">
        <v>1714</v>
      </c>
      <c r="W2" s="2019" t="s">
        <v>1712</v>
      </c>
    </row>
    <row r="3" spans="1:23">
      <c r="A3" s="2017"/>
      <c r="B3" s="2020" t="s">
        <v>1144</v>
      </c>
      <c r="C3" s="2021" t="s">
        <v>760</v>
      </c>
      <c r="D3" s="2019" t="s">
        <v>1715</v>
      </c>
      <c r="E3" s="2019" t="s">
        <v>16</v>
      </c>
      <c r="F3" s="2019" t="s">
        <v>1716</v>
      </c>
      <c r="G3" s="2019">
        <v>50</v>
      </c>
      <c r="H3" s="2019" t="s">
        <v>1716</v>
      </c>
      <c r="I3" s="2019" t="s">
        <v>1717</v>
      </c>
      <c r="J3" s="2019" t="s">
        <v>1718</v>
      </c>
      <c r="K3" s="2019" t="s">
        <v>1719</v>
      </c>
      <c r="L3" s="2019" t="s">
        <v>1719</v>
      </c>
      <c r="M3" s="2019" t="s">
        <v>1719</v>
      </c>
      <c r="N3" s="2019" t="s">
        <v>1719</v>
      </c>
      <c r="O3" s="2019" t="s">
        <v>1719</v>
      </c>
      <c r="P3" s="2019" t="s">
        <v>1719</v>
      </c>
      <c r="Q3" s="2019" t="s">
        <v>1719</v>
      </c>
      <c r="R3" s="2019" t="s">
        <v>1138</v>
      </c>
      <c r="S3" s="2019" t="s">
        <v>1719</v>
      </c>
      <c r="T3" s="2019" t="s">
        <v>1720</v>
      </c>
      <c r="U3" s="2019" t="s">
        <v>1719</v>
      </c>
      <c r="V3" s="2019" t="s">
        <v>1721</v>
      </c>
      <c r="W3" s="2019" t="s">
        <v>1719</v>
      </c>
    </row>
    <row r="4" spans="1:23">
      <c r="A4" s="2017"/>
      <c r="B4" s="2017" t="s">
        <v>1722</v>
      </c>
      <c r="C4" s="2018" t="s">
        <v>761</v>
      </c>
      <c r="D4" s="2019" t="s">
        <v>867</v>
      </c>
      <c r="E4" s="2019" t="s">
        <v>1723</v>
      </c>
      <c r="F4" s="2019" t="s">
        <v>1724</v>
      </c>
      <c r="G4" s="2019">
        <v>70</v>
      </c>
      <c r="H4" s="2019" t="s">
        <v>1724</v>
      </c>
      <c r="I4" s="2019" t="s">
        <v>1725</v>
      </c>
      <c r="K4" s="2019" t="s">
        <v>1726</v>
      </c>
      <c r="L4" s="2019" t="s">
        <v>1726</v>
      </c>
      <c r="M4" s="2019" t="s">
        <v>1726</v>
      </c>
      <c r="N4" s="2019" t="s">
        <v>1726</v>
      </c>
      <c r="O4" s="2019" t="s">
        <v>1726</v>
      </c>
      <c r="P4" s="2019" t="s">
        <v>1726</v>
      </c>
      <c r="Q4" s="2019" t="s">
        <v>1726</v>
      </c>
      <c r="R4" s="2019" t="s">
        <v>1140</v>
      </c>
      <c r="S4" s="2019" t="s">
        <v>1726</v>
      </c>
      <c r="T4" s="2019" t="s">
        <v>1727</v>
      </c>
      <c r="U4" s="2019" t="s">
        <v>1726</v>
      </c>
      <c r="W4" s="2019" t="s">
        <v>1726</v>
      </c>
    </row>
    <row r="5" spans="1:23">
      <c r="A5" s="2017"/>
      <c r="B5" s="2017" t="s">
        <v>1728</v>
      </c>
      <c r="C5" s="2018" t="s">
        <v>762</v>
      </c>
      <c r="F5" s="2019" t="s">
        <v>1729</v>
      </c>
      <c r="H5" s="2019" t="s">
        <v>1730</v>
      </c>
      <c r="I5" s="2019" t="s">
        <v>1731</v>
      </c>
      <c r="K5" s="2019" t="s">
        <v>1732</v>
      </c>
      <c r="L5" s="2019" t="s">
        <v>1732</v>
      </c>
      <c r="M5" s="2019" t="s">
        <v>1732</v>
      </c>
      <c r="N5" s="2019" t="s">
        <v>1732</v>
      </c>
      <c r="O5" s="2019" t="s">
        <v>1732</v>
      </c>
      <c r="P5" s="2019" t="s">
        <v>1732</v>
      </c>
      <c r="Q5" s="2019" t="s">
        <v>1732</v>
      </c>
      <c r="R5" s="2019" t="s">
        <v>1141</v>
      </c>
      <c r="S5" s="2019" t="s">
        <v>1732</v>
      </c>
      <c r="T5" s="2019" t="s">
        <v>1733</v>
      </c>
      <c r="U5" s="2019" t="s">
        <v>1732</v>
      </c>
      <c r="W5" s="2019" t="s">
        <v>1732</v>
      </c>
    </row>
    <row r="6" spans="1:23">
      <c r="A6" s="2017"/>
      <c r="B6" s="2020" t="s">
        <v>1145</v>
      </c>
      <c r="C6" s="2023" t="s">
        <v>29</v>
      </c>
      <c r="F6" s="2019" t="s">
        <v>1730</v>
      </c>
      <c r="H6" s="2019" t="s">
        <v>1734</v>
      </c>
      <c r="I6" s="2019" t="s">
        <v>1735</v>
      </c>
      <c r="K6" s="2019" t="s">
        <v>1736</v>
      </c>
      <c r="L6" s="2019" t="s">
        <v>1736</v>
      </c>
      <c r="M6" s="2019" t="s">
        <v>1736</v>
      </c>
      <c r="N6" s="2019" t="s">
        <v>1736</v>
      </c>
      <c r="O6" s="2019" t="s">
        <v>1736</v>
      </c>
      <c r="P6" s="2019" t="s">
        <v>1736</v>
      </c>
      <c r="Q6" s="2019" t="s">
        <v>1736</v>
      </c>
      <c r="R6" s="2019" t="s">
        <v>1142</v>
      </c>
      <c r="S6" s="2019" t="s">
        <v>1736</v>
      </c>
      <c r="T6" s="2019"/>
      <c r="U6" s="2019" t="s">
        <v>1736</v>
      </c>
      <c r="W6" s="2019" t="s">
        <v>1736</v>
      </c>
    </row>
    <row r="7" spans="1:23">
      <c r="A7" s="2017"/>
      <c r="B7" s="2020" t="s">
        <v>1146</v>
      </c>
      <c r="C7" s="2018" t="s">
        <v>30</v>
      </c>
      <c r="F7" s="2019" t="s">
        <v>1737</v>
      </c>
      <c r="H7" s="2019" t="s">
        <v>1738</v>
      </c>
      <c r="I7" s="2019" t="s">
        <v>1739</v>
      </c>
    </row>
    <row r="8" spans="1:23">
      <c r="A8" s="2017"/>
      <c r="B8" s="2017" t="s">
        <v>1740</v>
      </c>
      <c r="C8" s="2018" t="s">
        <v>763</v>
      </c>
      <c r="F8" s="2019" t="s">
        <v>1741</v>
      </c>
      <c r="H8" s="2019"/>
      <c r="I8" s="2019" t="s">
        <v>1742</v>
      </c>
    </row>
    <row r="9" spans="1:23">
      <c r="A9" s="2017"/>
      <c r="B9" s="2017" t="s">
        <v>1743</v>
      </c>
      <c r="C9" s="2018" t="s">
        <v>764</v>
      </c>
      <c r="F9" s="2019" t="s">
        <v>1744</v>
      </c>
      <c r="H9" s="2019"/>
    </row>
    <row r="10" spans="1:23">
      <c r="A10" s="2017"/>
      <c r="B10" s="2017" t="s">
        <v>1745</v>
      </c>
      <c r="C10" s="2018" t="s">
        <v>765</v>
      </c>
      <c r="F10" s="2019" t="s">
        <v>16</v>
      </c>
    </row>
    <row r="11" spans="1:23">
      <c r="A11" s="2017"/>
      <c r="B11" s="2017" t="s">
        <v>1746</v>
      </c>
      <c r="C11" s="2018" t="s">
        <v>766</v>
      </c>
    </row>
    <row r="12" spans="1:23">
      <c r="A12" s="2017"/>
      <c r="B12" s="2017" t="s">
        <v>1747</v>
      </c>
      <c r="C12" s="2018" t="s">
        <v>767</v>
      </c>
    </row>
    <row r="13" spans="1:23">
      <c r="A13" s="2017"/>
      <c r="B13" s="2017" t="s">
        <v>1748</v>
      </c>
      <c r="C13" s="2018" t="s">
        <v>768</v>
      </c>
    </row>
    <row r="14" spans="1:23">
      <c r="A14" s="2017"/>
      <c r="B14" s="2017" t="s">
        <v>1749</v>
      </c>
      <c r="C14" s="2019" t="s">
        <v>16</v>
      </c>
    </row>
    <row r="15" spans="1:23">
      <c r="A15" s="2017"/>
      <c r="B15" s="2017" t="s">
        <v>1750</v>
      </c>
      <c r="C15" s="2018"/>
    </row>
    <row r="16" spans="1:23">
      <c r="A16" s="2017"/>
      <c r="B16" s="2017" t="s">
        <v>755</v>
      </c>
      <c r="C16" s="2018"/>
    </row>
    <row r="17" spans="1:3">
      <c r="A17" s="2017"/>
      <c r="B17" s="2017" t="s">
        <v>756</v>
      </c>
      <c r="C17" s="2018"/>
    </row>
    <row r="18" spans="1:3">
      <c r="A18" s="2017"/>
      <c r="B18" s="2017" t="s">
        <v>756</v>
      </c>
      <c r="C18" s="2018"/>
    </row>
    <row r="19" spans="1:3">
      <c r="A19" s="2017"/>
      <c r="B19" s="2017" t="s">
        <v>756</v>
      </c>
      <c r="C19" s="2018"/>
    </row>
    <row r="20" spans="1:3">
      <c r="A20" s="2017"/>
      <c r="B20" s="2017" t="s">
        <v>756</v>
      </c>
      <c r="C20" s="2018"/>
    </row>
    <row r="21" spans="1:3">
      <c r="A21" s="2017"/>
      <c r="B21" s="2017" t="s">
        <v>756</v>
      </c>
      <c r="C21" s="2018"/>
    </row>
    <row r="22" spans="1:3">
      <c r="A22" s="2017"/>
      <c r="B22" s="2017" t="s">
        <v>756</v>
      </c>
      <c r="C22" s="2018"/>
    </row>
    <row r="23" spans="1:3">
      <c r="A23" s="2017"/>
      <c r="B23" s="2017" t="s">
        <v>756</v>
      </c>
      <c r="C23" s="2018"/>
    </row>
    <row r="24" spans="1:3">
      <c r="A24" s="2017"/>
      <c r="B24" s="2017" t="s">
        <v>756</v>
      </c>
      <c r="C24" s="2018"/>
    </row>
    <row r="25" spans="1:3">
      <c r="A25" s="2017"/>
      <c r="B25" s="2017" t="s">
        <v>756</v>
      </c>
      <c r="C25" s="2018"/>
    </row>
    <row r="26" spans="1:3">
      <c r="A26" s="2017"/>
      <c r="B26" s="2017" t="s">
        <v>756</v>
      </c>
      <c r="C26" s="2018"/>
    </row>
    <row r="27" spans="1:3">
      <c r="A27" s="2017"/>
      <c r="B27" s="2017" t="s">
        <v>756</v>
      </c>
      <c r="C27" s="2018"/>
    </row>
    <row r="28" spans="1:3">
      <c r="A28" s="2017"/>
      <c r="B28" s="2017" t="s">
        <v>756</v>
      </c>
      <c r="C28" s="2018"/>
    </row>
    <row r="29" spans="1:3">
      <c r="A29" s="2017"/>
      <c r="B29" s="2017" t="s">
        <v>756</v>
      </c>
      <c r="C29" s="2018"/>
    </row>
    <row r="30" spans="1:3">
      <c r="A30" s="2017"/>
      <c r="B30" s="2017" t="s">
        <v>756</v>
      </c>
      <c r="C30" s="2018"/>
    </row>
    <row r="31" spans="1:3">
      <c r="A31" s="2017"/>
      <c r="B31" s="2017" t="s">
        <v>756</v>
      </c>
      <c r="C31" s="2018"/>
    </row>
    <row r="32" spans="1:3">
      <c r="A32" s="2017" t="s">
        <v>756</v>
      </c>
      <c r="B32" s="2017" t="s">
        <v>756</v>
      </c>
      <c r="C32" s="2018"/>
    </row>
    <row r="33" spans="1:3">
      <c r="A33" s="2017" t="s">
        <v>756</v>
      </c>
      <c r="B33" s="2017" t="s">
        <v>756</v>
      </c>
      <c r="C33" s="2018"/>
    </row>
    <row r="34" spans="1:3">
      <c r="A34" s="2017" t="s">
        <v>756</v>
      </c>
      <c r="B34" s="2017" t="s">
        <v>756</v>
      </c>
      <c r="C34" s="2018"/>
    </row>
    <row r="35" spans="1:3">
      <c r="A35" s="2017" t="s">
        <v>756</v>
      </c>
      <c r="B35" s="2017" t="s">
        <v>756</v>
      </c>
      <c r="C35" s="2018"/>
    </row>
    <row r="36" spans="1:3">
      <c r="A36" s="2017" t="s">
        <v>756</v>
      </c>
      <c r="B36" s="2017" t="s">
        <v>756</v>
      </c>
      <c r="C36" s="2018"/>
    </row>
    <row r="37" spans="1:3">
      <c r="A37" s="2017" t="s">
        <v>756</v>
      </c>
      <c r="B37" s="2017" t="s">
        <v>756</v>
      </c>
      <c r="C37" s="2018"/>
    </row>
    <row r="38" spans="1:3">
      <c r="A38" s="2017" t="s">
        <v>756</v>
      </c>
      <c r="B38" s="2017" t="s">
        <v>756</v>
      </c>
      <c r="C38" s="2018"/>
    </row>
    <row r="39" spans="1:3">
      <c r="A39" s="2017" t="s">
        <v>756</v>
      </c>
      <c r="B39" s="2017" t="s">
        <v>756</v>
      </c>
      <c r="C39" s="2018"/>
    </row>
    <row r="40" spans="1:3">
      <c r="A40" s="2017" t="s">
        <v>756</v>
      </c>
      <c r="B40" s="2017" t="s">
        <v>756</v>
      </c>
      <c r="C40" s="2018"/>
    </row>
    <row r="41" spans="1:3">
      <c r="A41" s="2017" t="s">
        <v>756</v>
      </c>
      <c r="B41" s="2017" t="s">
        <v>756</v>
      </c>
      <c r="C41" s="2018"/>
    </row>
    <row r="42" spans="1:3">
      <c r="A42" s="2017" t="s">
        <v>756</v>
      </c>
      <c r="B42" s="2017" t="s">
        <v>756</v>
      </c>
      <c r="C42" s="2018"/>
    </row>
    <row r="43" spans="1:3">
      <c r="A43" s="2017" t="s">
        <v>756</v>
      </c>
      <c r="B43" s="2017" t="s">
        <v>756</v>
      </c>
      <c r="C43" s="2018"/>
    </row>
    <row r="44" spans="1:3">
      <c r="A44" s="2017" t="s">
        <v>756</v>
      </c>
      <c r="B44" s="2017" t="s">
        <v>756</v>
      </c>
      <c r="C44" s="2018"/>
    </row>
    <row r="45" spans="1:3">
      <c r="A45" s="2017" t="s">
        <v>756</v>
      </c>
      <c r="B45" s="2017" t="s">
        <v>756</v>
      </c>
      <c r="C45" s="2018"/>
    </row>
    <row r="46" spans="1:3">
      <c r="A46" s="2017" t="s">
        <v>756</v>
      </c>
      <c r="B46" s="2017" t="s">
        <v>756</v>
      </c>
      <c r="C46" s="2018"/>
    </row>
    <row r="47" spans="1:3">
      <c r="A47" s="2017" t="s">
        <v>756</v>
      </c>
      <c r="B47" s="2017" t="s">
        <v>756</v>
      </c>
      <c r="C47" s="2018"/>
    </row>
    <row r="48" spans="1:3">
      <c r="A48" s="2017" t="s">
        <v>756</v>
      </c>
      <c r="B48" s="2017" t="s">
        <v>756</v>
      </c>
      <c r="C48" s="2018"/>
    </row>
    <row r="49" spans="1:4">
      <c r="A49" s="2017" t="s">
        <v>756</v>
      </c>
      <c r="B49" s="2017" t="s">
        <v>756</v>
      </c>
      <c r="C49" s="2018"/>
    </row>
    <row r="50" spans="1:4">
      <c r="A50" s="2017" t="s">
        <v>756</v>
      </c>
      <c r="B50" s="2017" t="s">
        <v>756</v>
      </c>
      <c r="C50" s="2018"/>
    </row>
    <row r="51" spans="1:4">
      <c r="A51" s="2024" t="s">
        <v>856</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白马路马坡段60号院1-6幢工业用房房地产作为抵押担保物，向办理贷款手续。特委托北京康正宏基房地产评估有限公司对上述抵押物进行评估。本次评估为确定房地产抵押贷款额度提供参考依据而评估房地产抵押价值。</v>
      </c>
      <c r="D51" s="2025" t="s">
        <v>1283</v>
      </c>
    </row>
    <row r="52" spans="1:4">
      <c r="A52" s="2024" t="s">
        <v>857</v>
      </c>
      <c r="B52" s="2024" t="s">
        <v>858</v>
      </c>
      <c r="C52" s="2022" t="s">
        <v>859</v>
      </c>
      <c r="D52" s="2022" t="s">
        <v>860</v>
      </c>
    </row>
    <row r="53" spans="1:4">
      <c r="A53" s="2995" t="s">
        <v>861</v>
      </c>
      <c r="B53" s="2025" t="s">
        <v>862</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5"/>
      <c r="B54" s="2025" t="s">
        <v>863</v>
      </c>
      <c r="C54" s="2022" t="s">
        <v>1280</v>
      </c>
    </row>
    <row r="55" spans="1:4">
      <c r="A55" s="2995"/>
      <c r="B55" s="2025" t="s">
        <v>864</v>
      </c>
      <c r="C55" s="2022" t="s">
        <v>1281</v>
      </c>
    </row>
    <row r="56" spans="1:4">
      <c r="A56" s="2995"/>
      <c r="B56" s="2025" t="s">
        <v>865</v>
      </c>
      <c r="C56" s="2022" t="s">
        <v>1285</v>
      </c>
    </row>
    <row r="57" spans="1:4">
      <c r="A57" s="2995"/>
      <c r="B57" s="2025" t="s">
        <v>866</v>
      </c>
      <c r="C57" s="2022" t="s">
        <v>1282</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H10" sqref="H10"/>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1751</v>
      </c>
      <c r="B1" s="3004" t="str">
        <f>IF(B10="北京市","北京市",C10)&amp;F10&amp;IF(结果表!G1="在建","出让国有建设用地使用权及在建建筑物",IF(结果表!G1="土地","出让国有建设用地使用权",))&amp;B9&amp;"预评估"</f>
        <v>北京市顺义区白马路马坡段60号院1-6幢工业用房房地产抵押价值预评估</v>
      </c>
      <c r="C1" s="3005"/>
      <c r="D1" s="3005"/>
      <c r="E1" s="3005"/>
      <c r="F1" s="3005"/>
      <c r="G1" s="3005"/>
      <c r="H1" s="3005"/>
      <c r="I1" s="300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北京市顺义区白马路马坡段60号院1-6幢工业用房房地产抵押价值</v>
      </c>
    </row>
    <row r="2" spans="1:19" ht="18" customHeight="1">
      <c r="A2" s="2029" t="s">
        <v>1752</v>
      </c>
      <c r="B2" s="1042" t="s">
        <v>3076</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北京市顺义区白马路马坡段60号院1-6幢工业用房房地产</v>
      </c>
    </row>
    <row r="3" spans="1:19" ht="18" customHeight="1">
      <c r="A3" s="2038" t="s">
        <v>1753</v>
      </c>
      <c r="B3" s="2039">
        <v>43200</v>
      </c>
      <c r="C3" s="2040" t="s">
        <v>1754</v>
      </c>
      <c r="D3" s="2039">
        <f>B3</f>
        <v>43200</v>
      </c>
      <c r="E3" s="2029"/>
      <c r="F3" s="2029"/>
      <c r="G3" s="2029"/>
      <c r="H3" s="2029"/>
      <c r="I3" s="2029"/>
      <c r="J3" s="2029"/>
      <c r="K3" s="2030"/>
      <c r="L3" s="2031"/>
      <c r="M3" s="2031"/>
      <c r="N3" s="2032"/>
      <c r="O3" s="2033"/>
      <c r="P3" s="2032"/>
      <c r="Q3" s="2032"/>
      <c r="R3" s="2032"/>
      <c r="S3" s="2034"/>
    </row>
    <row r="4" spans="1:19" ht="18" customHeight="1" thickBot="1">
      <c r="A4" s="2041" t="s">
        <v>1755</v>
      </c>
      <c r="B4" s="2042" t="s">
        <v>3020</v>
      </c>
      <c r="C4" s="1040">
        <f ca="1">SUMIF(注册房地产估价师,B4,估价师及机构信息!B3:B24)</f>
        <v>1119970066</v>
      </c>
      <c r="D4" s="2042" t="s">
        <v>3021</v>
      </c>
      <c r="E4" s="1041">
        <f ca="1">SUMIF(注册房地产估价师,D4,估价师及机构信息!B3:B24)</f>
        <v>1120000080</v>
      </c>
      <c r="F4" s="2042" t="s">
        <v>69</v>
      </c>
      <c r="G4" s="2043">
        <f>SUMIF(注册房地产估价师,F4,估价师及机构信息!B3:B24)</f>
        <v>0</v>
      </c>
      <c r="H4" s="2042" t="s">
        <v>69</v>
      </c>
      <c r="I4" s="2044">
        <f>SUMIF(注册房地产估价师,H4,估价师及机构信息!B3:B24)</f>
        <v>0</v>
      </c>
      <c r="J4" s="2045"/>
      <c r="K4" s="2046" t="str">
        <f ca="1">CONCATENATE(B4,"（注册号：",C4,")、",D4,"（注册号：",E4,")")</f>
        <v>梁津（注册号：1119970066)、欧红伟（注册号：1120000080)</v>
      </c>
      <c r="L4" s="2031"/>
      <c r="M4" s="2031"/>
      <c r="N4" s="2032"/>
      <c r="O4" s="2033"/>
      <c r="P4" s="2032"/>
      <c r="Q4" s="2032"/>
      <c r="R4" s="2032"/>
      <c r="S4" s="2034"/>
    </row>
    <row r="5" spans="1:19" ht="18" customHeight="1" thickTop="1">
      <c r="A5" s="2047" t="s">
        <v>1756</v>
      </c>
      <c r="B5" s="2945" t="s">
        <v>3039</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1757</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1758</v>
      </c>
      <c r="B7" s="2055"/>
      <c r="C7" s="2052"/>
      <c r="D7" s="2053"/>
      <c r="E7" s="2037"/>
      <c r="F7" s="2045"/>
      <c r="G7" s="2045"/>
      <c r="H7" s="2045"/>
      <c r="I7" s="2045"/>
      <c r="J7" s="2045"/>
      <c r="K7" s="2056"/>
      <c r="L7" s="2031"/>
      <c r="M7" s="2031"/>
      <c r="N7" s="2032"/>
      <c r="O7" s="2033"/>
      <c r="P7" s="2032"/>
      <c r="Q7" s="2032"/>
      <c r="R7" s="2032"/>
    </row>
    <row r="8" spans="1:19" ht="18" customHeight="1">
      <c r="A8" s="2050" t="s">
        <v>1759</v>
      </c>
      <c r="B8" s="2057" t="s">
        <v>3022</v>
      </c>
      <c r="C8" s="2058"/>
      <c r="D8" s="3007" t="s">
        <v>1760</v>
      </c>
      <c r="E8" s="2059" t="s">
        <v>3023</v>
      </c>
      <c r="F8" s="2060"/>
      <c r="G8" s="2029"/>
      <c r="H8" s="2029"/>
      <c r="I8" s="2029"/>
      <c r="J8" s="2045"/>
      <c r="K8" s="2046"/>
      <c r="L8" s="2031"/>
      <c r="M8" s="2031"/>
      <c r="N8" s="2032"/>
      <c r="O8" s="2033"/>
      <c r="P8" s="2032"/>
      <c r="Q8" s="2032"/>
      <c r="R8" s="2032"/>
    </row>
    <row r="9" spans="1:19" ht="18" customHeight="1" thickBot="1">
      <c r="A9" s="2043" t="s">
        <v>1761</v>
      </c>
      <c r="B9" s="2061" t="s">
        <v>3023</v>
      </c>
      <c r="C9" s="2062"/>
      <c r="D9" s="3008"/>
      <c r="E9" s="2061" t="s">
        <v>69</v>
      </c>
      <c r="F9" s="2063"/>
      <c r="G9" s="2064"/>
      <c r="H9" s="2064"/>
      <c r="I9" s="2064"/>
      <c r="J9" s="2045"/>
      <c r="K9" s="2056"/>
      <c r="L9" s="2031"/>
      <c r="M9" s="2031"/>
      <c r="N9" s="2032"/>
      <c r="O9" s="2033"/>
      <c r="P9" s="2032"/>
      <c r="Q9" s="2032"/>
      <c r="R9" s="2032"/>
    </row>
    <row r="10" spans="1:19" ht="18" customHeight="1" thickTop="1">
      <c r="A10" s="2065" t="s">
        <v>1762</v>
      </c>
      <c r="B10" s="2066" t="s">
        <v>3024</v>
      </c>
      <c r="C10" s="2067"/>
      <c r="D10" s="2049"/>
      <c r="E10" s="2068" t="s">
        <v>1763</v>
      </c>
      <c r="F10" s="2069" t="s">
        <v>3075</v>
      </c>
      <c r="G10" s="2070"/>
      <c r="H10" s="2071"/>
      <c r="I10" s="2049"/>
      <c r="J10" s="2045"/>
      <c r="K10" s="2056"/>
      <c r="L10" s="2031"/>
      <c r="M10" s="2031"/>
      <c r="N10" s="2032"/>
      <c r="O10" s="2033"/>
      <c r="P10" s="2032"/>
      <c r="Q10" s="2032"/>
      <c r="R10" s="2032"/>
    </row>
    <row r="11" spans="1:19" ht="18" customHeight="1">
      <c r="A11" s="2072" t="s">
        <v>1764</v>
      </c>
      <c r="B11" s="2073" t="s">
        <v>3025</v>
      </c>
      <c r="C11" s="2074" t="str">
        <f>B5</f>
        <v>北京星箭长空测控技术股份有限公司</v>
      </c>
      <c r="D11" s="2075"/>
      <c r="E11" s="2045"/>
      <c r="F11" s="2045"/>
      <c r="G11" s="2045"/>
      <c r="H11" s="2045"/>
      <c r="I11" s="2045"/>
      <c r="J11" s="2045"/>
      <c r="K11" s="2056"/>
      <c r="L11" s="2031"/>
      <c r="M11" s="2031"/>
      <c r="N11" s="2032"/>
      <c r="O11" s="2033"/>
      <c r="P11" s="2032"/>
      <c r="Q11" s="2032"/>
      <c r="R11" s="2032"/>
    </row>
    <row r="12" spans="1:19" ht="18" customHeight="1">
      <c r="A12" s="2076" t="s">
        <v>1765</v>
      </c>
      <c r="B12" s="2073" t="s">
        <v>3026</v>
      </c>
      <c r="C12" s="2077" t="s">
        <v>1766</v>
      </c>
      <c r="D12" s="2078" t="s">
        <v>1767</v>
      </c>
      <c r="E12" s="2078" t="s">
        <v>1768</v>
      </c>
      <c r="F12" s="2078" t="s">
        <v>1769</v>
      </c>
      <c r="G12" s="2078" t="s">
        <v>1770</v>
      </c>
      <c r="H12" s="2078" t="s">
        <v>1771</v>
      </c>
      <c r="I12" s="2078" t="s">
        <v>1772</v>
      </c>
      <c r="J12" s="2045"/>
      <c r="K12" s="2056"/>
      <c r="L12" s="2031"/>
      <c r="M12" s="2031"/>
      <c r="N12" s="2032"/>
      <c r="O12" s="2033"/>
      <c r="P12" s="2032"/>
      <c r="Q12" s="2032"/>
      <c r="R12" s="2032"/>
    </row>
    <row r="13" spans="1:19" ht="18" customHeight="1">
      <c r="A13" s="2079"/>
      <c r="B13" s="2080"/>
      <c r="C13" s="2081" t="s">
        <v>1773</v>
      </c>
      <c r="D13" s="2082"/>
      <c r="E13" s="2082"/>
      <c r="F13" s="2082"/>
      <c r="G13" s="2082"/>
      <c r="H13" s="2082"/>
      <c r="I13" s="1050">
        <v>58423</v>
      </c>
      <c r="J13" s="2045"/>
      <c r="K13" s="2056"/>
      <c r="L13" s="2031"/>
      <c r="M13" s="2031"/>
      <c r="N13" s="2032"/>
      <c r="O13" s="2033"/>
      <c r="P13" s="2032"/>
      <c r="Q13" s="2032"/>
      <c r="R13" s="2032"/>
    </row>
    <row r="14" spans="1:19" ht="18" customHeight="1">
      <c r="A14" s="2079"/>
      <c r="B14" s="2080"/>
      <c r="C14" s="2081" t="s">
        <v>1774</v>
      </c>
      <c r="D14" s="1053"/>
      <c r="E14" s="1053"/>
      <c r="F14" s="1053"/>
      <c r="G14" s="1053"/>
      <c r="H14" s="1053"/>
      <c r="I14" s="1053">
        <v>50</v>
      </c>
      <c r="J14" s="2045"/>
      <c r="K14" s="2083"/>
      <c r="L14" s="2031"/>
      <c r="M14" s="2031"/>
      <c r="N14" s="2032"/>
      <c r="O14" s="2033"/>
      <c r="P14" s="2032"/>
      <c r="Q14" s="2032"/>
      <c r="R14" s="2032"/>
    </row>
    <row r="15" spans="1:19" ht="18" customHeight="1">
      <c r="A15" s="2065"/>
      <c r="B15" s="2084"/>
      <c r="C15" s="2081" t="s">
        <v>1775</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41.7</v>
      </c>
      <c r="J15" s="2045"/>
      <c r="K15" s="2085"/>
      <c r="L15" s="2086"/>
      <c r="M15" s="2086"/>
      <c r="N15" s="2087"/>
      <c r="O15" s="2086"/>
      <c r="P15" s="2087"/>
      <c r="Q15" s="2032"/>
      <c r="R15" s="2032"/>
    </row>
    <row r="16" spans="1:19" ht="30.75" customHeight="1">
      <c r="A16" s="2068" t="s">
        <v>1776</v>
      </c>
      <c r="B16" s="3014"/>
      <c r="C16" s="3015"/>
      <c r="D16" s="3016"/>
      <c r="E16" s="2088" t="s">
        <v>1777</v>
      </c>
      <c r="F16" s="3017"/>
      <c r="G16" s="3018"/>
      <c r="H16" s="3018"/>
      <c r="I16" s="3019"/>
      <c r="J16" s="2032"/>
      <c r="K16" s="2085"/>
      <c r="L16" s="2086"/>
      <c r="M16" s="2086"/>
      <c r="N16" s="2087"/>
      <c r="O16" s="2086"/>
      <c r="P16" s="2087"/>
      <c r="Q16" s="2032"/>
      <c r="R16" s="2032"/>
    </row>
    <row r="17" spans="1:22" ht="18" customHeight="1">
      <c r="A17" s="2089" t="s">
        <v>1778</v>
      </c>
      <c r="B17" s="2038" t="s">
        <v>1779</v>
      </c>
      <c r="C17" s="1057">
        <f>'数据-汇总表'!E3</f>
        <v>16346.349999999999</v>
      </c>
      <c r="D17" s="2090" t="s">
        <v>1780</v>
      </c>
      <c r="E17" s="3020" t="s">
        <v>1781</v>
      </c>
      <c r="F17" s="3021"/>
      <c r="G17" s="3021"/>
      <c r="H17" s="3021"/>
      <c r="I17" s="3022"/>
      <c r="J17" s="2032"/>
      <c r="K17" s="2091"/>
      <c r="L17" s="2086"/>
      <c r="M17" s="2086"/>
      <c r="N17" s="2087"/>
      <c r="O17" s="2086"/>
      <c r="P17" s="2087"/>
      <c r="Q17" s="2032"/>
      <c r="R17" s="2032"/>
      <c r="S17" s="2032"/>
      <c r="T17" s="2032"/>
      <c r="U17" s="2032"/>
      <c r="V17" s="2032"/>
    </row>
    <row r="18" spans="1:22" ht="36" customHeight="1" thickBot="1">
      <c r="A18" s="2092" t="s">
        <v>1782</v>
      </c>
      <c r="B18" s="2041" t="s">
        <v>1783</v>
      </c>
      <c r="C18" s="1447">
        <f>'数据-汇总表'!D3</f>
        <v>13177.7</v>
      </c>
      <c r="D18" s="2093" t="s">
        <v>1780</v>
      </c>
      <c r="E18" s="3023" t="s">
        <v>1784</v>
      </c>
      <c r="F18" s="3024"/>
      <c r="G18" s="3024"/>
      <c r="H18" s="3024"/>
      <c r="I18" s="3025"/>
      <c r="J18" s="2032"/>
      <c r="K18" s="2091"/>
      <c r="L18" s="2086"/>
      <c r="M18" s="2086"/>
      <c r="N18" s="2087"/>
      <c r="O18" s="2086"/>
      <c r="P18" s="2087"/>
      <c r="Q18" s="2032"/>
      <c r="R18" s="2032"/>
      <c r="S18" s="2032"/>
      <c r="T18" s="2032"/>
      <c r="U18" s="2032"/>
      <c r="V18" s="2032"/>
    </row>
    <row r="19" spans="1:22" ht="37.5" customHeight="1" thickTop="1" thickBot="1">
      <c r="A19" s="373" t="s">
        <v>1785</v>
      </c>
      <c r="B19" s="352" t="s">
        <v>1786</v>
      </c>
      <c r="C19" s="2094" t="s">
        <v>3028</v>
      </c>
      <c r="D19" s="2095" t="s">
        <v>1787</v>
      </c>
      <c r="E19" s="2096" t="s">
        <v>3028</v>
      </c>
      <c r="F19" s="2097" t="str">
        <f>IF(AND(C19="是",E19="否"),"是否提供他项权证或相关说明","")</f>
        <v/>
      </c>
      <c r="G19" s="2098"/>
      <c r="H19" s="2045"/>
      <c r="I19" s="2045"/>
      <c r="J19" s="2045"/>
      <c r="K19" s="2056"/>
      <c r="L19" s="2031"/>
      <c r="M19" s="2031"/>
      <c r="N19" s="2087"/>
      <c r="O19" s="2086"/>
      <c r="P19" s="2087"/>
      <c r="Q19" s="2032"/>
      <c r="R19" s="2032"/>
      <c r="S19" s="2032"/>
      <c r="T19" s="2032"/>
      <c r="U19" s="2032"/>
      <c r="V19" s="2032"/>
    </row>
    <row r="20" spans="1:22" ht="18" customHeight="1">
      <c r="A20" s="2099" t="s">
        <v>1788</v>
      </c>
      <c r="B20" s="3010" t="s">
        <v>1789</v>
      </c>
      <c r="C20" s="3011"/>
      <c r="D20" s="3012" t="s">
        <v>1790</v>
      </c>
      <c r="E20" s="3013"/>
      <c r="F20" s="2100" t="s">
        <v>1791</v>
      </c>
      <c r="G20" s="2045"/>
      <c r="H20" s="2045"/>
      <c r="I20" s="2045"/>
      <c r="J20" s="2045"/>
      <c r="K20" s="3009" t="s">
        <v>1792</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1793</v>
      </c>
      <c r="C21" s="2102" t="s">
        <v>3029</v>
      </c>
      <c r="D21" s="2103" t="s">
        <v>1794</v>
      </c>
      <c r="E21" s="2104" t="s">
        <v>69</v>
      </c>
      <c r="F21" s="2105"/>
      <c r="G21" s="2045"/>
      <c r="H21" s="2045"/>
      <c r="I21" s="2045"/>
      <c r="J21" s="2045"/>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7"/>
      <c r="O21" s="2086"/>
      <c r="P21" s="2087"/>
      <c r="Q21" s="2032"/>
      <c r="R21" s="2032"/>
      <c r="S21" s="2032"/>
      <c r="T21" s="2032"/>
      <c r="U21" s="2032"/>
      <c r="V21" s="2032"/>
    </row>
    <row r="22" spans="1:22" ht="24.75" customHeight="1" thickBot="1">
      <c r="A22" s="2099"/>
      <c r="B22" s="2106" t="s">
        <v>1795</v>
      </c>
      <c r="C22" s="2102" t="s">
        <v>1796</v>
      </c>
      <c r="D22" s="2029"/>
      <c r="E22" s="2029"/>
      <c r="F22" s="2107"/>
      <c r="G22" s="2045"/>
      <c r="H22" s="2045"/>
      <c r="I22" s="2045"/>
      <c r="J22" s="2045"/>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1797</v>
      </c>
      <c r="B23" s="183" t="s">
        <v>1798</v>
      </c>
      <c r="C23" s="2109"/>
      <c r="D23" s="2110" t="s">
        <v>1798</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1799</v>
      </c>
      <c r="C24" s="2114"/>
      <c r="D24" s="2108" t="s">
        <v>1799</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1800</v>
      </c>
      <c r="C25" s="2114"/>
      <c r="D25" s="2108" t="s">
        <v>1800</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1801</v>
      </c>
      <c r="C26" s="2118"/>
      <c r="D26" s="2119" t="s">
        <v>1802</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2997" t="s">
        <v>1803</v>
      </c>
      <c r="B27" s="2065" t="s">
        <v>1804</v>
      </c>
      <c r="C27" s="2122" t="s">
        <v>3030</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2997"/>
      <c r="B28" s="2038" t="s">
        <v>1805</v>
      </c>
      <c r="C28" s="2124" t="s">
        <v>3031</v>
      </c>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2997"/>
      <c r="B29" s="2038" t="s">
        <v>1806</v>
      </c>
      <c r="C29" s="2127" t="s">
        <v>3028</v>
      </c>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2998"/>
      <c r="B30" s="2038" t="s">
        <v>1807</v>
      </c>
      <c r="C30" s="2999"/>
      <c r="D30" s="3000"/>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01" t="s">
        <v>1808</v>
      </c>
      <c r="B31" s="2129" t="s">
        <v>3032</v>
      </c>
      <c r="C31" s="2130" t="str">
        <f>IF(B31="现房","成新及维护状况正常否",IF(B31="在建","工程状态是否正常",IF(B31="土地","是否闲置","-")))</f>
        <v>成新及维护状况正常否</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3002"/>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002"/>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1809</v>
      </c>
      <c r="B34" s="2136" t="s">
        <v>3033</v>
      </c>
      <c r="C34" s="2136" t="s">
        <v>3034</v>
      </c>
      <c r="D34" s="2136" t="s">
        <v>3035</v>
      </c>
      <c r="E34" s="2136" t="s">
        <v>3036</v>
      </c>
      <c r="F34" s="2136" t="s">
        <v>3037</v>
      </c>
      <c r="G34" s="2136" t="s">
        <v>3038</v>
      </c>
      <c r="H34" s="2136"/>
      <c r="I34" s="2045"/>
      <c r="J34" s="2045"/>
      <c r="K34" s="1798">
        <f>COUNTIF(B34:H34,"——")</f>
        <v>0</v>
      </c>
      <c r="L34" s="2077" t="s">
        <v>1810</v>
      </c>
      <c r="M34" s="2077" t="s">
        <v>1811</v>
      </c>
      <c r="N34" s="2077" t="s">
        <v>1812</v>
      </c>
      <c r="O34" s="2077" t="s">
        <v>1813</v>
      </c>
      <c r="P34" s="2077" t="s">
        <v>1814</v>
      </c>
      <c r="Q34" s="2077" t="s">
        <v>1815</v>
      </c>
      <c r="R34" s="2077" t="s">
        <v>1816</v>
      </c>
      <c r="S34" s="2996" t="s">
        <v>1817</v>
      </c>
      <c r="T34" s="2137" t="str">
        <f>NUMBERSTRING(7-K34,1)&amp;"通"</f>
        <v>七通</v>
      </c>
      <c r="U34" s="2032"/>
      <c r="V34" s="2032"/>
    </row>
    <row r="35" spans="1:22" ht="18" customHeight="1">
      <c r="A35" s="2138"/>
      <c r="B35" s="3003" t="s">
        <v>1818</v>
      </c>
      <c r="C35" s="3003"/>
      <c r="D35" s="3003"/>
      <c r="E35" s="3003"/>
      <c r="F35" s="2139">
        <f>C10</f>
        <v>0</v>
      </c>
      <c r="G35" s="2045"/>
      <c r="H35" s="2045"/>
      <c r="I35" s="2045"/>
      <c r="J35" s="2045"/>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2996"/>
      <c r="T35" s="48" t="str">
        <f>IF(T34="一通",L35,IF(T34="二通",M35,IF(T34="三通",N35,IF(T34="四通",O35,IF(T34="五通",P35,IF(T34="六通",Q35,R35))))))</f>
        <v>通路、通电、通讯、通上水、通下水、燃气、</v>
      </c>
      <c r="U35" s="2032"/>
      <c r="V35" s="2032"/>
    </row>
    <row r="36" spans="1:22" ht="18" customHeight="1">
      <c r="A36" s="2140"/>
      <c r="B36" s="2139" t="s">
        <v>1819</v>
      </c>
      <c r="C36" s="2139" t="s">
        <v>1820</v>
      </c>
      <c r="D36" s="2139" t="s">
        <v>1821</v>
      </c>
      <c r="E36" s="2139" t="s">
        <v>1822</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1823</v>
      </c>
      <c r="B37" s="2143"/>
      <c r="C37" s="2143"/>
      <c r="D37" s="2143"/>
      <c r="E37" s="2143" t="s">
        <v>527</v>
      </c>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1824</v>
      </c>
      <c r="B38" s="2145"/>
      <c r="C38" s="2145"/>
      <c r="D38" s="2145"/>
      <c r="E38" s="2145" t="s">
        <v>368</v>
      </c>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1825</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1826</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1827</v>
      </c>
      <c r="B42" s="1798" t="s">
        <v>1828</v>
      </c>
      <c r="C42" s="1798" t="s">
        <v>1829</v>
      </c>
      <c r="D42" s="1798" t="s">
        <v>1830</v>
      </c>
      <c r="E42" s="1798" t="s">
        <v>1831</v>
      </c>
      <c r="F42" s="1798" t="s">
        <v>1832</v>
      </c>
      <c r="G42" s="1798" t="s">
        <v>1833</v>
      </c>
      <c r="H42" s="1798" t="s">
        <v>1834</v>
      </c>
      <c r="I42" s="1798" t="s">
        <v>1835</v>
      </c>
      <c r="J42" s="2155" t="s">
        <v>1836</v>
      </c>
      <c r="K42" s="2078" t="s">
        <v>1837</v>
      </c>
      <c r="L42" s="2078" t="s">
        <v>1838</v>
      </c>
      <c r="M42" s="2078" t="s">
        <v>1839</v>
      </c>
      <c r="N42" s="1798" t="s">
        <v>1840</v>
      </c>
      <c r="O42" s="1798" t="s">
        <v>1841</v>
      </c>
      <c r="P42" s="1798" t="s">
        <v>1842</v>
      </c>
      <c r="Q42" s="2077" t="s">
        <v>1843</v>
      </c>
      <c r="R42" s="2077" t="s">
        <v>1844</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1845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1846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1847</v>
      </c>
      <c r="B2" s="11" t="s">
        <v>1848</v>
      </c>
      <c r="C2" s="11" t="s">
        <v>1849</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1850</v>
      </c>
      <c r="AZ2" s="1273" t="s">
        <v>1851</v>
      </c>
      <c r="BA2" s="11" t="s">
        <v>1852</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13177.7</v>
      </c>
      <c r="B3" s="14">
        <f>IF(C3="否",G5-AT5,G5)</f>
        <v>16346.349999999999</v>
      </c>
      <c r="C3" s="2171" t="s">
        <v>1853</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1854</v>
      </c>
      <c r="B5" s="1806"/>
      <c r="C5" s="1806"/>
      <c r="D5" s="1809"/>
      <c r="E5" s="16" t="s">
        <v>1</v>
      </c>
      <c r="F5" s="16">
        <f>SUM(F13:F587)</f>
        <v>0</v>
      </c>
      <c r="G5" s="16">
        <f>SUM(G13:G587)</f>
        <v>16346.349999999999</v>
      </c>
      <c r="H5" s="16">
        <f t="shared" ref="H5:AT5" si="0">SUM(H13:H656)</f>
        <v>16346.349999999999</v>
      </c>
      <c r="I5" s="16">
        <f t="shared" si="0"/>
        <v>16346.349999999999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1854</v>
      </c>
      <c r="AW5" s="1806"/>
      <c r="AX5" s="1806"/>
      <c r="AY5" s="17" t="s">
        <v>3</v>
      </c>
      <c r="AZ5" s="18">
        <f t="shared" ref="AZ5:BT5" si="1">SUM(AZ13:AZ656)</f>
        <v>16346.349999999999</v>
      </c>
      <c r="BA5" s="18">
        <f t="shared" si="1"/>
        <v>16346.349999999999</v>
      </c>
      <c r="BB5" s="18">
        <f t="shared" si="1"/>
        <v>16346.349999999999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1855</v>
      </c>
      <c r="B6" s="2177"/>
      <c r="C6" s="2177"/>
      <c r="D6" s="2178"/>
      <c r="E6" s="16">
        <f>H6+AC6+AT6</f>
        <v>13177.7</v>
      </c>
      <c r="F6" s="16" t="s">
        <v>1</v>
      </c>
      <c r="G6" s="16" t="s">
        <v>2</v>
      </c>
      <c r="H6" s="20">
        <f>SUMIF(I$12:AB$12,"总值",I6:AB6)</f>
        <v>13177.7</v>
      </c>
      <c r="I6" s="16">
        <f t="shared" ref="I6:AB6" si="2">ROUND($A$3*I5/$B$3,2)</f>
        <v>13177.7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1855</v>
      </c>
      <c r="AW6" s="2177"/>
      <c r="AX6" s="2177"/>
      <c r="AY6" s="21">
        <f>IF(AY3&gt;0,AY3,ROUND($A$3*AZ5/$B$3,2))</f>
        <v>13177.7</v>
      </c>
      <c r="AZ6" s="16" t="s">
        <v>3</v>
      </c>
      <c r="BA6" s="16">
        <f>ROUND($AY$6*BA5/$AZ$5,2)</f>
        <v>13177.7</v>
      </c>
      <c r="BB6" s="16">
        <f>ROUND($AY$6*BB5/$AZ$5,2)</f>
        <v>13177.7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1856</v>
      </c>
      <c r="B7" s="2112" t="s">
        <v>1857</v>
      </c>
      <c r="C7" s="2112" t="s">
        <v>1858</v>
      </c>
      <c r="D7" s="2112" t="s">
        <v>1859</v>
      </c>
      <c r="E7" s="2112" t="s">
        <v>1860</v>
      </c>
      <c r="F7" s="2112" t="s">
        <v>1861</v>
      </c>
      <c r="G7" s="2181" t="s">
        <v>1862</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1863</v>
      </c>
      <c r="AV7" s="23" t="s">
        <v>1864</v>
      </c>
      <c r="AW7" s="2169" t="s">
        <v>1865</v>
      </c>
      <c r="AX7" s="23" t="s">
        <v>1858</v>
      </c>
      <c r="AY7" s="1806" t="s">
        <v>1866</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1867</v>
      </c>
      <c r="H8" s="2187" t="s">
        <v>1868</v>
      </c>
      <c r="I8" s="2188"/>
      <c r="J8" s="1821"/>
      <c r="K8" s="1821"/>
      <c r="L8" s="1821"/>
      <c r="M8" s="1821"/>
      <c r="N8" s="1821"/>
      <c r="O8" s="1821"/>
      <c r="P8" s="1821"/>
      <c r="Q8" s="1821"/>
      <c r="R8" s="1821"/>
      <c r="S8" s="1821"/>
      <c r="T8" s="1821"/>
      <c r="U8" s="1821"/>
      <c r="V8" s="2189"/>
      <c r="W8" s="1821"/>
      <c r="X8" s="1821"/>
      <c r="Y8" s="1821"/>
      <c r="Z8" s="1821"/>
      <c r="AA8" s="2189"/>
      <c r="AB8" s="2190"/>
      <c r="AC8" s="984" t="s">
        <v>1869</v>
      </c>
      <c r="AD8" s="2191"/>
      <c r="AE8" s="2183"/>
      <c r="AF8" s="1821"/>
      <c r="AG8" s="1821"/>
      <c r="AH8" s="1821"/>
      <c r="AI8" s="1821"/>
      <c r="AJ8" s="1821"/>
      <c r="AK8" s="1821"/>
      <c r="AL8" s="1821"/>
      <c r="AM8" s="1821"/>
      <c r="AN8" s="1821"/>
      <c r="AO8" s="1821"/>
      <c r="AP8" s="1821"/>
      <c r="AQ8" s="1821"/>
      <c r="AR8" s="1821"/>
      <c r="AS8" s="1821"/>
      <c r="AT8" s="1295" t="s">
        <v>1870</v>
      </c>
      <c r="AU8" s="2185" t="s">
        <v>1871</v>
      </c>
      <c r="AV8" s="1295"/>
      <c r="AW8" s="2168"/>
      <c r="AX8" s="1295"/>
      <c r="AY8" s="2169" t="s">
        <v>1872</v>
      </c>
      <c r="AZ8" s="1820" t="s">
        <v>1873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1874</v>
      </c>
      <c r="I9" s="2194" t="s">
        <v>3041</v>
      </c>
      <c r="J9" s="984"/>
      <c r="K9" s="2194"/>
      <c r="L9" s="984"/>
      <c r="M9" s="2194"/>
      <c r="N9" s="984"/>
      <c r="O9" s="2194"/>
      <c r="P9" s="984"/>
      <c r="Q9" s="2194"/>
      <c r="R9" s="984"/>
      <c r="S9" s="2194"/>
      <c r="T9" s="984"/>
      <c r="U9" s="2194"/>
      <c r="V9" s="984"/>
      <c r="W9" s="2194"/>
      <c r="X9" s="2195"/>
      <c r="Y9" s="2194"/>
      <c r="Z9" s="984"/>
      <c r="AA9" s="2194"/>
      <c r="AB9" s="984"/>
      <c r="AC9" s="2186" t="s">
        <v>1874</v>
      </c>
      <c r="AD9" s="15" t="s">
        <v>1875</v>
      </c>
      <c r="AE9" s="1301"/>
      <c r="AF9" s="15" t="s">
        <v>1876</v>
      </c>
      <c r="AG9" s="1301"/>
      <c r="AH9" s="15" t="s">
        <v>1875</v>
      </c>
      <c r="AI9" s="1301"/>
      <c r="AJ9" s="15" t="s">
        <v>1876</v>
      </c>
      <c r="AK9" s="1301"/>
      <c r="AL9" s="15" t="s">
        <v>1875</v>
      </c>
      <c r="AM9" s="1301"/>
      <c r="AN9" s="15" t="s">
        <v>1876</v>
      </c>
      <c r="AO9" s="1301"/>
      <c r="AP9" s="15" t="s">
        <v>1875</v>
      </c>
      <c r="AQ9" s="1301"/>
      <c r="AR9" s="15" t="s">
        <v>1876</v>
      </c>
      <c r="AS9" s="2196"/>
      <c r="AT9" s="2185"/>
      <c r="AU9" s="2185" t="s">
        <v>1877</v>
      </c>
      <c r="AV9" s="1295"/>
      <c r="AW9" s="2168"/>
      <c r="AX9" s="1295"/>
      <c r="AY9" s="28"/>
      <c r="AZ9" s="28" t="s">
        <v>1867</v>
      </c>
      <c r="BA9" s="2197" t="s">
        <v>1878</v>
      </c>
      <c r="BB9" s="2198"/>
      <c r="BC9" s="1341"/>
      <c r="BD9" s="1341"/>
      <c r="BE9" s="1341"/>
      <c r="BF9" s="1341"/>
      <c r="BG9" s="1341"/>
      <c r="BH9" s="1341"/>
      <c r="BI9" s="1341"/>
      <c r="BJ9" s="1341"/>
      <c r="BK9" s="2199"/>
      <c r="BL9" s="15" t="s">
        <v>1879</v>
      </c>
      <c r="BM9" s="1821"/>
      <c r="BN9" s="2188"/>
      <c r="BO9" s="1821"/>
      <c r="BP9" s="1821"/>
      <c r="BQ9" s="1821"/>
      <c r="BR9" s="1821"/>
      <c r="BS9" s="1821"/>
      <c r="BT9" s="26"/>
    </row>
    <row r="10" spans="1:72" s="2192" customFormat="1" ht="12.75">
      <c r="A10" s="2185"/>
      <c r="B10" s="2185"/>
      <c r="C10" s="2185"/>
      <c r="D10" s="2185"/>
      <c r="E10" s="2185"/>
      <c r="F10" s="2185"/>
      <c r="G10" s="1295"/>
      <c r="H10" s="28"/>
      <c r="I10" s="2194" t="s">
        <v>6</v>
      </c>
      <c r="J10" s="984"/>
      <c r="K10" s="2200"/>
      <c r="L10" s="984"/>
      <c r="M10" s="2200"/>
      <c r="N10" s="984"/>
      <c r="O10" s="2200"/>
      <c r="P10" s="984"/>
      <c r="Q10" s="2200"/>
      <c r="R10" s="984"/>
      <c r="S10" s="2200"/>
      <c r="T10" s="984"/>
      <c r="U10" s="2200"/>
      <c r="V10" s="984"/>
      <c r="W10" s="2200"/>
      <c r="X10" s="984"/>
      <c r="Y10" s="2200"/>
      <c r="Z10" s="984"/>
      <c r="AA10" s="2200"/>
      <c r="AB10" s="984"/>
      <c r="AC10" s="1295"/>
      <c r="AD10" s="15" t="s">
        <v>1880</v>
      </c>
      <c r="AE10" s="2201"/>
      <c r="AF10" s="15" t="s">
        <v>1880</v>
      </c>
      <c r="AG10" s="2201"/>
      <c r="AH10" s="15" t="s">
        <v>1881</v>
      </c>
      <c r="AI10" s="2201"/>
      <c r="AJ10" s="15" t="s">
        <v>1881</v>
      </c>
      <c r="AK10" s="2201"/>
      <c r="AL10" s="15" t="s">
        <v>1882</v>
      </c>
      <c r="AM10" s="1301"/>
      <c r="AN10" s="15" t="s">
        <v>1882</v>
      </c>
      <c r="AO10" s="1301"/>
      <c r="AP10" s="15" t="s">
        <v>1883</v>
      </c>
      <c r="AQ10" s="1301"/>
      <c r="AR10" s="15" t="s">
        <v>1883</v>
      </c>
      <c r="AS10" s="1301"/>
      <c r="AT10" s="2185"/>
      <c r="AU10" s="2185"/>
      <c r="AV10" s="1295"/>
      <c r="AW10" s="2168"/>
      <c r="AX10" s="1295"/>
      <c r="AY10" s="28"/>
      <c r="AZ10" s="28"/>
      <c r="BA10" s="2202" t="s">
        <v>1874</v>
      </c>
      <c r="BB10" s="2203" t="str">
        <f>I9</f>
        <v>地上</v>
      </c>
      <c r="BC10" s="29">
        <f>K9</f>
        <v>0</v>
      </c>
      <c r="BD10" s="29">
        <f>M9</f>
        <v>0</v>
      </c>
      <c r="BE10" s="29">
        <f>O9</f>
        <v>0</v>
      </c>
      <c r="BF10" s="29">
        <f>Q9</f>
        <v>0</v>
      </c>
      <c r="BG10" s="29">
        <f>S9</f>
        <v>0</v>
      </c>
      <c r="BH10" s="29">
        <f>U9</f>
        <v>0</v>
      </c>
      <c r="BI10" s="29">
        <f>W9</f>
        <v>0</v>
      </c>
      <c r="BJ10" s="29">
        <f>Y9</f>
        <v>0</v>
      </c>
      <c r="BK10" s="29">
        <f>AA9</f>
        <v>0</v>
      </c>
      <c r="BL10" s="25" t="s">
        <v>1874</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t="s">
        <v>3042</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1884</v>
      </c>
      <c r="AE11" s="1822"/>
      <c r="AF11" s="2207" t="s">
        <v>1884</v>
      </c>
      <c r="AG11" s="1822"/>
      <c r="AH11" s="2207" t="s">
        <v>1885</v>
      </c>
      <c r="AI11" s="2208"/>
      <c r="AJ11" s="2207" t="s">
        <v>1885</v>
      </c>
      <c r="AK11" s="1822"/>
      <c r="AL11" s="1820"/>
      <c r="AM11" s="1822"/>
      <c r="AN11" s="1820"/>
      <c r="AO11" s="1822"/>
      <c r="AP11" s="1820"/>
      <c r="AQ11" s="1822"/>
      <c r="AR11" s="1820"/>
      <c r="AS11" s="1822"/>
      <c r="AT11" s="2168"/>
      <c r="AU11" s="2185"/>
      <c r="AV11" s="1295"/>
      <c r="AW11" s="2168"/>
      <c r="AX11" s="1295"/>
      <c r="AY11" s="28"/>
      <c r="AZ11" s="28"/>
      <c r="BA11" s="28"/>
      <c r="BB11" s="2190" t="str">
        <f>I10</f>
        <v>工业</v>
      </c>
      <c r="BC11" s="2190">
        <f>K10</f>
        <v>0</v>
      </c>
      <c r="BD11" s="2190">
        <f>M10</f>
        <v>0</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1886</v>
      </c>
      <c r="J12" s="11" t="s">
        <v>1887</v>
      </c>
      <c r="K12" s="11" t="s">
        <v>1886</v>
      </c>
      <c r="L12" s="11" t="s">
        <v>1887</v>
      </c>
      <c r="M12" s="11" t="s">
        <v>1886</v>
      </c>
      <c r="N12" s="11" t="s">
        <v>1887</v>
      </c>
      <c r="O12" s="11" t="s">
        <v>1886</v>
      </c>
      <c r="P12" s="11" t="s">
        <v>1887</v>
      </c>
      <c r="Q12" s="11" t="s">
        <v>1886</v>
      </c>
      <c r="R12" s="11" t="s">
        <v>1887</v>
      </c>
      <c r="S12" s="11" t="s">
        <v>1886</v>
      </c>
      <c r="T12" s="11" t="s">
        <v>1887</v>
      </c>
      <c r="U12" s="11" t="s">
        <v>1886</v>
      </c>
      <c r="V12" s="1805" t="s">
        <v>1887</v>
      </c>
      <c r="W12" s="11" t="s">
        <v>1886</v>
      </c>
      <c r="X12" s="11" t="s">
        <v>1887</v>
      </c>
      <c r="Y12" s="11" t="s">
        <v>1886</v>
      </c>
      <c r="Z12" s="11" t="s">
        <v>1887</v>
      </c>
      <c r="AA12" s="11" t="s">
        <v>1886</v>
      </c>
      <c r="AB12" s="11" t="s">
        <v>1887</v>
      </c>
      <c r="AC12" s="2212"/>
      <c r="AD12" s="1809" t="s">
        <v>1886</v>
      </c>
      <c r="AE12" s="11" t="s">
        <v>1887</v>
      </c>
      <c r="AF12" s="11" t="s">
        <v>1886</v>
      </c>
      <c r="AG12" s="11" t="s">
        <v>1887</v>
      </c>
      <c r="AH12" s="11" t="s">
        <v>1886</v>
      </c>
      <c r="AI12" s="11" t="s">
        <v>1887</v>
      </c>
      <c r="AJ12" s="11" t="s">
        <v>1886</v>
      </c>
      <c r="AK12" s="11" t="s">
        <v>1887</v>
      </c>
      <c r="AL12" s="11" t="s">
        <v>1886</v>
      </c>
      <c r="AM12" s="11" t="s">
        <v>1887</v>
      </c>
      <c r="AN12" s="11" t="s">
        <v>1886</v>
      </c>
      <c r="AO12" s="11" t="s">
        <v>1887</v>
      </c>
      <c r="AP12" s="11" t="s">
        <v>1886</v>
      </c>
      <c r="AQ12" s="11" t="s">
        <v>1887</v>
      </c>
      <c r="AR12" s="30" t="s">
        <v>1886</v>
      </c>
      <c r="AS12" s="2210" t="s">
        <v>1887</v>
      </c>
      <c r="AT12" s="2213"/>
      <c r="AU12" s="2210"/>
      <c r="AV12" s="31"/>
      <c r="AW12" s="2169"/>
      <c r="AX12" s="31"/>
      <c r="AY12" s="2214"/>
      <c r="AZ12" s="28"/>
      <c r="BA12" s="2202"/>
      <c r="BB12" s="24" t="str">
        <f>I11</f>
        <v>车间</v>
      </c>
      <c r="BC12" s="2215">
        <f>K11</f>
        <v>0</v>
      </c>
      <c r="BD12" s="2215">
        <f>M11</f>
        <v>0</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t="s">
        <v>3040</v>
      </c>
      <c r="D13" s="2216" t="s">
        <v>3027</v>
      </c>
      <c r="E13" s="16">
        <f>IF($C$3="是",ROUND($A$3*G13/$B$3,2),ROUND($A$3*(G13-AT13)/$B$3,2))</f>
        <v>3686.84</v>
      </c>
      <c r="F13" s="32"/>
      <c r="G13" s="33">
        <f>H13+AC13+AT13</f>
        <v>4573.3599999999997</v>
      </c>
      <c r="H13" s="20">
        <f>SUMIF(I$12:AB$12,"总值",I13:AB13)</f>
        <v>4573.3599999999997</v>
      </c>
      <c r="I13" s="2217">
        <v>4573.3599999999997</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1幢1-5层</v>
      </c>
      <c r="AY13" s="1809">
        <f>ROUND($AY$6*AZ13/$AZ$5,2)</f>
        <v>3686.84</v>
      </c>
      <c r="AZ13" s="16">
        <f>BA13+BL13</f>
        <v>4573.3599999999997</v>
      </c>
      <c r="BA13" s="16">
        <f>SUM(BB13:BK13)</f>
        <v>4573.3599999999997</v>
      </c>
      <c r="BB13" s="16">
        <f>IF($D13="是",I13-J13,0)</f>
        <v>4573.3599999999997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t="s">
        <v>3044</v>
      </c>
      <c r="D14" s="2216" t="s">
        <v>3027</v>
      </c>
      <c r="E14" s="16">
        <f>IF($C$3="是",ROUND($A$3*G14/$B$3,2),ROUND($A$3*(G14-AT14)/$B$3,2))</f>
        <v>2107.7199999999998</v>
      </c>
      <c r="F14" s="32"/>
      <c r="G14" s="33">
        <f>H14+AC14+AT14</f>
        <v>2614.5300000000002</v>
      </c>
      <c r="H14" s="20">
        <f>SUMIF(I$12:AB$12,"总值",I14:AB14)</f>
        <v>2614.5300000000002</v>
      </c>
      <c r="I14" s="2217">
        <v>2614.5300000000002</v>
      </c>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2幢1-3层</v>
      </c>
      <c r="AY14" s="1809">
        <f>ROUND($AY$6*AZ14/$AZ$5,2)</f>
        <v>2107.7199999999998</v>
      </c>
      <c r="AZ14" s="16">
        <f>BA14+BL14</f>
        <v>2614.5300000000002</v>
      </c>
      <c r="BA14" s="16">
        <f>SUM(BB14:BK14)</f>
        <v>2614.5300000000002</v>
      </c>
      <c r="BB14" s="16">
        <f>IF($D14="是",I14-J14,0)</f>
        <v>2614.5300000000002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t="s">
        <v>3045</v>
      </c>
      <c r="D15" s="2216" t="s">
        <v>3027</v>
      </c>
      <c r="E15" s="16">
        <f>IF($C$3="是",ROUND($A$3*G15/$B$3,2),ROUND($A$3*(G15-AT15)/$B$3,2))</f>
        <v>2409.11</v>
      </c>
      <c r="F15" s="32"/>
      <c r="G15" s="33">
        <f>H15+AC15+AT15</f>
        <v>2988.39</v>
      </c>
      <c r="H15" s="20">
        <f>SUMIF(I$12:AB$12,"总值",I15:AB15)</f>
        <v>2988.39</v>
      </c>
      <c r="I15" s="2217">
        <v>2988.39</v>
      </c>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t="str">
        <f t="shared" si="6"/>
        <v>3幢1-2层</v>
      </c>
      <c r="AY15" s="1809">
        <f>ROUND($AY$6*AZ15/$AZ$5,2)</f>
        <v>2409.11</v>
      </c>
      <c r="AZ15" s="16">
        <f>BA15+BL15</f>
        <v>2988.39</v>
      </c>
      <c r="BA15" s="16">
        <f>SUM(BB15:BK15)</f>
        <v>2988.39</v>
      </c>
      <c r="BB15" s="16">
        <f>IF($D15="是",I15-J15,0)</f>
        <v>2988.39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t="s">
        <v>3046</v>
      </c>
      <c r="D16" s="2216" t="s">
        <v>3027</v>
      </c>
      <c r="E16" s="16">
        <f>IF($C$3="是",ROUND($A$3*G16/$B$3,2),ROUND($A$3*(G16-AT16)/$B$3,2))</f>
        <v>1891.44</v>
      </c>
      <c r="F16" s="32"/>
      <c r="G16" s="33">
        <f>H16+AC16+AT16</f>
        <v>2346.25</v>
      </c>
      <c r="H16" s="20">
        <f>SUMIF(I$12:AB$12,"总值",I16:AB16)</f>
        <v>2346.25</v>
      </c>
      <c r="I16" s="2217">
        <v>2346.25</v>
      </c>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t="str">
        <f t="shared" si="6"/>
        <v>4幢1-4层</v>
      </c>
      <c r="AY16" s="1809">
        <f>ROUND($AY$6*AZ16/$AZ$5,2)</f>
        <v>1891.44</v>
      </c>
      <c r="AZ16" s="16">
        <f>BA16+BL16</f>
        <v>2346.25</v>
      </c>
      <c r="BA16" s="16">
        <f>SUM(BB16:BK16)</f>
        <v>2346.25</v>
      </c>
      <c r="BB16" s="16">
        <f>IF($D16="是",I16-J16,0)</f>
        <v>2346.25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t="s">
        <v>3047</v>
      </c>
      <c r="D17" s="2216" t="s">
        <v>3027</v>
      </c>
      <c r="E17" s="16">
        <f>IF($C$3="是",ROUND($A$3*G17/$B$3,2),ROUND($A$3*(G17-AT17)/$B$3,2))</f>
        <v>811.9</v>
      </c>
      <c r="F17" s="32"/>
      <c r="G17" s="33">
        <f>H17+AC17+AT17</f>
        <v>1007.12</v>
      </c>
      <c r="H17" s="20">
        <f>SUMIF(I$12:AB$12,"总值",I17:AB17)</f>
        <v>1007.12</v>
      </c>
      <c r="I17" s="2217">
        <v>1007.12</v>
      </c>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t="str">
        <f t="shared" si="6"/>
        <v>5幢1层</v>
      </c>
      <c r="AY17" s="1809">
        <f>ROUND($AY$6*AZ17/$AZ$5,2)</f>
        <v>811.9</v>
      </c>
      <c r="AZ17" s="16">
        <f>BA17+BL17</f>
        <v>1007.12</v>
      </c>
      <c r="BA17" s="16">
        <f>SUM(BB17:BK17)</f>
        <v>1007.12</v>
      </c>
      <c r="BB17" s="16">
        <f>IF($D17="是",I17-J17,0)</f>
        <v>1007.12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3048</v>
      </c>
      <c r="D18" s="2216" t="s">
        <v>3027</v>
      </c>
      <c r="E18" s="35">
        <f t="shared" ref="E18:E112" si="7">IF($C$3="是",ROUND($A$3*G18/$B$3,2),ROUND($A$3*(G18-AT18)/$B$3,2))</f>
        <v>2270.6999999999998</v>
      </c>
      <c r="F18" s="36"/>
      <c r="G18" s="37">
        <f t="shared" ref="G18:G109" si="8">H18+AC18+AT18</f>
        <v>2816.7</v>
      </c>
      <c r="H18" s="38">
        <f t="shared" ref="H18:H109" si="9">SUMIF(I$12:AB$12,"总值",I18:AB18)</f>
        <v>2816.7</v>
      </c>
      <c r="I18" s="39">
        <v>2816.7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t="str">
        <f t="shared" ref="AX18:AX112" si="13">C18</f>
        <v>6幢1-2层</v>
      </c>
      <c r="AY18" s="42">
        <f t="shared" ref="AY18:AY109" si="14">ROUND($AY$6*AZ18/$AZ$5,2)</f>
        <v>2270.6999999999998</v>
      </c>
      <c r="AZ18" s="35">
        <f t="shared" ref="AZ18:AZ109" si="15">BA18+BL18</f>
        <v>2816.7</v>
      </c>
      <c r="BA18" s="35">
        <f t="shared" ref="BA18:BA109" si="16">SUM(BB18:BK18)</f>
        <v>2816.7</v>
      </c>
      <c r="BB18" s="35">
        <f t="shared" ref="BB18:BB109" si="17">IF($D18="是",I18-J18,0)</f>
        <v>2816.7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6" t="s">
        <v>0</v>
      </c>
      <c r="B1" s="3026" t="s">
        <v>4</v>
      </c>
      <c r="C1" s="3026" t="s">
        <v>5</v>
      </c>
      <c r="D1" s="3027" t="s">
        <v>52</v>
      </c>
      <c r="E1" s="3027" t="s">
        <v>53</v>
      </c>
      <c r="F1" s="3027"/>
      <c r="G1" s="3027"/>
      <c r="H1" s="3027"/>
      <c r="I1" s="3027"/>
      <c r="J1" s="3027"/>
      <c r="K1" s="3027"/>
      <c r="L1" s="3027"/>
      <c r="M1" s="3027"/>
    </row>
    <row r="2" spans="1:13" ht="27" customHeight="1">
      <c r="A2" s="3026"/>
      <c r="B2" s="3026"/>
      <c r="C2" s="3026"/>
      <c r="D2" s="3027"/>
      <c r="E2" s="3027" t="s">
        <v>36</v>
      </c>
      <c r="F2" s="3027" t="s">
        <v>37</v>
      </c>
      <c r="G2" s="3027"/>
      <c r="H2" s="3027"/>
      <c r="I2" s="3027"/>
      <c r="J2" s="3027" t="s">
        <v>38</v>
      </c>
      <c r="K2" s="3027"/>
      <c r="L2" s="3027"/>
      <c r="M2" s="3027"/>
    </row>
    <row r="3" spans="1:13" ht="28.5">
      <c r="A3" s="3026"/>
      <c r="B3" s="3026"/>
      <c r="C3" s="3026"/>
      <c r="D3" s="3027"/>
      <c r="E3" s="3027"/>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027" t="s">
        <v>54</v>
      </c>
      <c r="B9" s="3027"/>
      <c r="C9" s="30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23" sqref="H23"/>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1913</v>
      </c>
      <c r="B1" s="1395"/>
      <c r="C1" s="1395"/>
      <c r="D1" s="1395"/>
      <c r="E1" s="1395"/>
      <c r="F1" s="1395"/>
      <c r="G1" s="1395"/>
      <c r="H1" s="1395"/>
      <c r="I1" s="1395"/>
      <c r="J1" s="1395"/>
      <c r="K1" s="1395"/>
      <c r="L1" s="1395"/>
      <c r="M1" s="1395"/>
      <c r="N1" s="1395"/>
      <c r="O1" s="1395"/>
      <c r="P1" s="1395"/>
    </row>
    <row r="2" spans="1:16" ht="15">
      <c r="A2" s="3037" t="s">
        <v>1914</v>
      </c>
      <c r="B2" s="3037"/>
      <c r="C2" s="3037"/>
      <c r="D2" s="970" t="s">
        <v>1890</v>
      </c>
      <c r="E2" s="2230" t="s">
        <v>1891</v>
      </c>
      <c r="F2" s="1395"/>
      <c r="G2" s="2231"/>
      <c r="H2" s="2232"/>
      <c r="I2" s="2233" t="s">
        <v>1915</v>
      </c>
      <c r="J2" s="1395"/>
      <c r="K2" s="1395"/>
      <c r="L2" s="1395"/>
      <c r="M2" s="1395"/>
      <c r="N2" s="1430"/>
      <c r="O2" s="1395"/>
      <c r="P2" s="1395"/>
    </row>
    <row r="3" spans="1:16" ht="15.75" thickBot="1">
      <c r="A3" s="3038" t="s">
        <v>1888</v>
      </c>
      <c r="B3" s="3038"/>
      <c r="C3" s="3038"/>
      <c r="D3" s="46">
        <f>'数据-基础表'!AY6</f>
        <v>13177.7</v>
      </c>
      <c r="E3" s="46">
        <f>'数据-基础表'!AZ5</f>
        <v>16346.349999999999</v>
      </c>
      <c r="F3" s="1395"/>
      <c r="G3" s="1402"/>
      <c r="H3" s="1250" t="s">
        <v>1889</v>
      </c>
      <c r="I3" s="55">
        <f>ROUND('数据-基础表'!B3/'数据-基础表'!A3,2)</f>
        <v>1.24</v>
      </c>
      <c r="J3" s="1395"/>
      <c r="K3" s="1395"/>
      <c r="L3" s="1395"/>
      <c r="M3" s="1395"/>
      <c r="N3" s="1430"/>
      <c r="O3" s="1395"/>
      <c r="P3" s="1395"/>
    </row>
    <row r="4" spans="1:16" ht="15">
      <c r="A4" s="3039"/>
      <c r="B4" s="3040"/>
      <c r="C4" s="3041"/>
      <c r="D4" s="2234" t="s">
        <v>1890</v>
      </c>
      <c r="E4" s="2235" t="s">
        <v>1891</v>
      </c>
      <c r="F4" s="1395"/>
      <c r="G4" s="2236" t="s">
        <v>1916</v>
      </c>
      <c r="H4" s="1250" t="s">
        <v>1896</v>
      </c>
      <c r="I4" s="55">
        <f>ROUND(SUMIF('数据-基础表'!I9:AS9,"地上",'数据-基础表'!I5:AS5)/'数据-基础表'!A3,2)</f>
        <v>1.24</v>
      </c>
      <c r="J4" s="1395"/>
      <c r="K4" s="1395"/>
      <c r="L4" s="1395"/>
      <c r="M4" s="1395"/>
      <c r="N4" s="1430"/>
      <c r="O4" s="1395"/>
      <c r="P4" s="1395"/>
    </row>
    <row r="5" spans="1:16">
      <c r="A5" s="47" t="s">
        <v>1892</v>
      </c>
      <c r="B5" s="3042" t="s">
        <v>1893</v>
      </c>
      <c r="C5" s="3042"/>
      <c r="D5" s="48">
        <f>ROUND($D$3*E5/$E$3,2)</f>
        <v>0</v>
      </c>
      <c r="E5" s="49">
        <f>SUMIF('数据-基础表'!$11:$11,"住宅",'数据-基础表'!$5:$5)</f>
        <v>0</v>
      </c>
      <c r="F5" s="1395"/>
      <c r="G5" s="1402"/>
      <c r="H5" s="1250" t="s">
        <v>1889</v>
      </c>
      <c r="I5" s="55">
        <f>ROUND(E31/D31,2)</f>
        <v>1.24</v>
      </c>
      <c r="J5" s="1395"/>
      <c r="K5" s="1395"/>
      <c r="L5" s="1395"/>
      <c r="M5" s="1395"/>
      <c r="N5" s="1395"/>
      <c r="O5" s="1395"/>
      <c r="P5" s="1395"/>
    </row>
    <row r="6" spans="1:16" ht="15" thickBot="1">
      <c r="A6" s="2237"/>
      <c r="B6" s="3042" t="s">
        <v>1894</v>
      </c>
      <c r="C6" s="3042"/>
      <c r="D6" s="48">
        <f>ROUND($D$3*E6/$E$3,2)</f>
        <v>13177.7</v>
      </c>
      <c r="E6" s="49">
        <f>E3-E5</f>
        <v>16346.349999999999</v>
      </c>
      <c r="F6" s="1395"/>
      <c r="G6" s="2238" t="s">
        <v>1895</v>
      </c>
      <c r="H6" s="1402" t="s">
        <v>1896</v>
      </c>
      <c r="I6" s="942">
        <f>ROUND(F31/D31,2)</f>
        <v>1.24</v>
      </c>
      <c r="J6" s="1395"/>
      <c r="K6" s="1395"/>
      <c r="L6" s="1395"/>
      <c r="M6" s="1395"/>
      <c r="N6" s="1395"/>
      <c r="O6" s="1395"/>
      <c r="P6" s="1395"/>
    </row>
    <row r="7" spans="1:16" ht="15">
      <c r="A7" s="3034"/>
      <c r="B7" s="3035"/>
      <c r="C7" s="3036"/>
      <c r="D7" s="2234" t="s">
        <v>1890</v>
      </c>
      <c r="E7" s="2239" t="s">
        <v>1897</v>
      </c>
      <c r="F7" s="1395"/>
      <c r="G7" s="2231" t="s">
        <v>1898</v>
      </c>
      <c r="H7" s="64"/>
      <c r="I7" s="420"/>
      <c r="J7" s="1395"/>
      <c r="K7" s="1395"/>
      <c r="L7" s="1395"/>
      <c r="M7" s="1395"/>
      <c r="N7" s="1395"/>
      <c r="O7" s="1395"/>
      <c r="P7" s="1395"/>
    </row>
    <row r="8" spans="1:16">
      <c r="A8" s="47" t="s">
        <v>1899</v>
      </c>
      <c r="B8" s="50" t="s">
        <v>1900</v>
      </c>
      <c r="C8" s="48" t="s">
        <v>1901</v>
      </c>
      <c r="D8" s="48">
        <f t="shared" ref="D8:D15" si="0">ROUND($D$3*E8/$E$3,2)</f>
        <v>13177.7</v>
      </c>
      <c r="E8" s="51">
        <f>SUMIF('数据-基础表'!BB10:BK10,"地上",'数据-基础表'!BB5:BK5)</f>
        <v>16346.349999999999</v>
      </c>
      <c r="F8" s="1395"/>
      <c r="G8" s="2240"/>
      <c r="H8" s="2240"/>
      <c r="I8" s="1395"/>
      <c r="J8" s="1395"/>
      <c r="K8" s="1395"/>
      <c r="L8" s="1395"/>
      <c r="M8" s="1395"/>
      <c r="N8" s="1395"/>
      <c r="O8" s="1395"/>
      <c r="P8" s="1395"/>
    </row>
    <row r="9" spans="1:16">
      <c r="A9" s="2241"/>
      <c r="B9" s="2242"/>
      <c r="C9" s="48" t="s">
        <v>1902</v>
      </c>
      <c r="D9" s="48">
        <f t="shared" si="0"/>
        <v>0</v>
      </c>
      <c r="E9" s="52">
        <v>0</v>
      </c>
      <c r="F9" s="1395"/>
      <c r="G9" s="2240"/>
      <c r="H9" s="2240"/>
      <c r="I9" s="1395"/>
      <c r="J9" s="1395"/>
      <c r="K9" s="1395"/>
      <c r="L9" s="1395"/>
      <c r="M9" s="1395"/>
      <c r="N9" s="1395"/>
      <c r="O9" s="1395"/>
      <c r="P9" s="1395"/>
    </row>
    <row r="10" spans="1:16">
      <c r="A10" s="2241"/>
      <c r="B10" s="2242"/>
      <c r="C10" s="48" t="s">
        <v>1911</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1903</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1904</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1905</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1917</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1912</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1906</v>
      </c>
      <c r="D16" s="50">
        <f>SUM(D8:D15)</f>
        <v>13177.7</v>
      </c>
      <c r="E16" s="53">
        <f>SUM(E8:E15)</f>
        <v>16346.349999999999</v>
      </c>
      <c r="F16" s="1395"/>
      <c r="G16" s="2240"/>
      <c r="H16" s="2243" t="s">
        <v>1918</v>
      </c>
      <c r="I16" s="2244"/>
      <c r="J16" s="1395"/>
      <c r="K16" s="3031" t="s">
        <v>1918</v>
      </c>
      <c r="L16" s="3032"/>
      <c r="M16" s="3032"/>
      <c r="N16" s="3032"/>
      <c r="O16" s="3032"/>
      <c r="P16" s="3033"/>
    </row>
    <row r="17" spans="1:19" ht="15">
      <c r="A17" s="2245" t="s">
        <v>1919</v>
      </c>
      <c r="B17" s="2246" t="s">
        <v>1920</v>
      </c>
      <c r="C17" s="2247" t="s">
        <v>1921</v>
      </c>
      <c r="D17" s="2248" t="s">
        <v>1909</v>
      </c>
      <c r="E17" s="2249" t="s">
        <v>1910</v>
      </c>
      <c r="F17" s="2250"/>
      <c r="G17" s="2251"/>
      <c r="H17" s="2252" t="s">
        <v>1922</v>
      </c>
      <c r="I17" s="2253" t="s">
        <v>1907</v>
      </c>
      <c r="J17" s="1395"/>
      <c r="K17" s="3028" t="s">
        <v>1923</v>
      </c>
      <c r="L17" s="3029"/>
      <c r="M17" s="3030"/>
      <c r="N17" s="3028" t="s">
        <v>1924</v>
      </c>
      <c r="O17" s="3029"/>
      <c r="P17" s="3030"/>
      <c r="R17" s="2231" t="s">
        <v>1925</v>
      </c>
      <c r="S17" s="64"/>
    </row>
    <row r="18" spans="1:19" ht="15">
      <c r="A18" s="2241"/>
      <c r="B18" s="2254"/>
      <c r="C18" s="2255"/>
      <c r="D18" s="2256"/>
      <c r="E18" s="2257" t="s">
        <v>1926</v>
      </c>
      <c r="F18" s="2258" t="s">
        <v>1927</v>
      </c>
      <c r="G18" s="2259" t="s">
        <v>1928</v>
      </c>
      <c r="H18" s="1265" t="s">
        <v>1929</v>
      </c>
      <c r="I18" s="2260" t="s">
        <v>1930</v>
      </c>
      <c r="J18" s="1395"/>
      <c r="K18" s="1265" t="s">
        <v>1931</v>
      </c>
      <c r="L18" s="2261" t="s">
        <v>1932</v>
      </c>
      <c r="M18" s="1049" t="s">
        <v>1933</v>
      </c>
      <c r="N18" s="1265" t="s">
        <v>1931</v>
      </c>
      <c r="O18" s="2261" t="s">
        <v>1932</v>
      </c>
      <c r="P18" s="1049" t="s">
        <v>1933</v>
      </c>
      <c r="R18" s="1250" t="s">
        <v>1934</v>
      </c>
      <c r="S18" s="1250" t="s">
        <v>1935</v>
      </c>
    </row>
    <row r="19" spans="1:19">
      <c r="A19" s="2262"/>
      <c r="B19" s="50" t="s">
        <v>1908</v>
      </c>
      <c r="C19" s="2946" t="s">
        <v>3049</v>
      </c>
      <c r="D19" s="48">
        <f>ROUND($D$3*E19/$E$3,2)</f>
        <v>13177.7</v>
      </c>
      <c r="E19" s="56">
        <f t="shared" ref="E19:E26" si="1">SUM(F19:G19)</f>
        <v>16346.349999999999</v>
      </c>
      <c r="F19" s="57">
        <f>'数据-基础表'!I5</f>
        <v>16346.349999999999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13177.7</v>
      </c>
      <c r="S19" s="1251">
        <f t="shared" si="5"/>
        <v>16346.349999999999</v>
      </c>
    </row>
    <row r="20" spans="1:19">
      <c r="A20" s="2266"/>
      <c r="B20" s="50" t="s">
        <v>1936</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1936</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1936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1936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1936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1936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1936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1937</v>
      </c>
      <c r="D27" s="1396">
        <f>SUM(D19:D26)</f>
        <v>13177.7</v>
      </c>
      <c r="E27" s="1397">
        <f>IF(SUM(E19:E26)='数据-基础表'!BA5,SUM(E19:E26),IF(F27="地上面积有误","面积有误","地下面积有误"))</f>
        <v>16346.349999999999</v>
      </c>
      <c r="F27" s="1396">
        <f>IF(SUM(F19:F26)=E8,SUM(F19:F26),"地上面积有误")</f>
        <v>16346.349999999999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13177.7</v>
      </c>
      <c r="S27" s="1250">
        <f>IF(SUM(S19:S26)=$E$3,SUM(S19:S26),SUM(S19:S26)&amp;"误差"&amp;ROUND(SUM(S19:S26)-E3,2))</f>
        <v>16346.349999999999</v>
      </c>
    </row>
    <row r="28" spans="1:19">
      <c r="A28" s="2266"/>
      <c r="B28" s="50" t="s">
        <v>1938</v>
      </c>
      <c r="C28" s="1262" t="s">
        <v>1939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1938</v>
      </c>
      <c r="C29" s="2270" t="s">
        <v>1940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1937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1941</v>
      </c>
      <c r="D31" s="729">
        <f>D27+D30</f>
        <v>13177.7</v>
      </c>
      <c r="E31" s="729">
        <f>E27+E30</f>
        <v>16346.349999999999</v>
      </c>
      <c r="F31" s="730">
        <f>F27+F30</f>
        <v>16346.349999999999</v>
      </c>
      <c r="G31" s="731">
        <f>G27+G30</f>
        <v>0</v>
      </c>
      <c r="H31" s="1395"/>
      <c r="I31" s="1395"/>
      <c r="J31" s="1395"/>
      <c r="K31" s="1395"/>
      <c r="L31" s="1395"/>
      <c r="M31" s="1395"/>
      <c r="N31" s="1395"/>
      <c r="O31" s="1395"/>
      <c r="P31" s="1395"/>
    </row>
    <row r="32" spans="1:19">
      <c r="A32" s="2236"/>
      <c r="B32" s="2236" t="s">
        <v>1942</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V6" sqref="V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1943</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1944</v>
      </c>
      <c r="B2" s="1269">
        <f>项目基本情况!D3</f>
        <v>43200</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1945</v>
      </c>
      <c r="B4" s="2284"/>
      <c r="C4" s="2285"/>
      <c r="D4" s="2286"/>
      <c r="E4" s="2285" t="s">
        <v>1946</v>
      </c>
      <c r="F4" s="2285"/>
      <c r="G4" s="2285"/>
      <c r="H4" s="2285"/>
      <c r="I4" s="2285"/>
      <c r="J4" s="2287"/>
      <c r="K4" s="2288"/>
      <c r="L4" s="2289"/>
      <c r="M4" s="2285"/>
      <c r="N4" s="2285" t="s">
        <v>1947</v>
      </c>
      <c r="O4" s="2285"/>
      <c r="P4" s="2285"/>
      <c r="Q4" s="2285"/>
      <c r="R4" s="2285"/>
      <c r="S4" s="2287"/>
      <c r="T4" s="2290" t="str">
        <f>'数据-汇总表'!I17</f>
        <v>按面积比例</v>
      </c>
      <c r="U4" s="2284" t="s">
        <v>1948</v>
      </c>
      <c r="V4" s="2285"/>
      <c r="W4" s="2285"/>
      <c r="X4" s="2285"/>
      <c r="Y4" s="2287"/>
      <c r="Z4" s="2247" t="s">
        <v>1949</v>
      </c>
      <c r="AA4" s="2247"/>
      <c r="AB4" s="2247"/>
      <c r="AC4" s="2247"/>
      <c r="AD4" s="2247"/>
      <c r="AE4" s="2245" t="s">
        <v>1950</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1951</v>
      </c>
      <c r="B5" s="2293" t="s">
        <v>1952</v>
      </c>
      <c r="C5" s="2294" t="s">
        <v>1953</v>
      </c>
      <c r="D5" s="2295" t="s">
        <v>1954</v>
      </c>
      <c r="E5" s="1271" t="s">
        <v>1955</v>
      </c>
      <c r="F5" s="2296" t="s">
        <v>1956</v>
      </c>
      <c r="G5" s="1271" t="s">
        <v>1957</v>
      </c>
      <c r="H5" s="1271" t="s">
        <v>1958</v>
      </c>
      <c r="I5" s="1271" t="s">
        <v>1959</v>
      </c>
      <c r="J5" s="2297" t="s">
        <v>1960</v>
      </c>
      <c r="K5" s="2298" t="s">
        <v>1961</v>
      </c>
      <c r="L5" s="2299" t="s">
        <v>1962</v>
      </c>
      <c r="M5" s="2300" t="s">
        <v>1963</v>
      </c>
      <c r="N5" s="2301" t="s">
        <v>3050</v>
      </c>
      <c r="O5" s="2299" t="s">
        <v>1964</v>
      </c>
      <c r="P5" s="2302" t="s">
        <v>1965</v>
      </c>
      <c r="Q5" s="69" t="s">
        <v>1966</v>
      </c>
      <c r="R5" s="2303" t="s">
        <v>1967</v>
      </c>
      <c r="S5" s="2304" t="s">
        <v>1968</v>
      </c>
      <c r="T5" s="2305" t="s">
        <v>1969</v>
      </c>
      <c r="U5" s="1270" t="s">
        <v>1970</v>
      </c>
      <c r="V5" s="1271" t="s">
        <v>1971</v>
      </c>
      <c r="W5" s="1271" t="s">
        <v>1972</v>
      </c>
      <c r="X5" s="71"/>
      <c r="Y5" s="70" t="s">
        <v>1973</v>
      </c>
      <c r="Z5" s="2306" t="s">
        <v>1970</v>
      </c>
      <c r="AA5" s="1271" t="s">
        <v>1971</v>
      </c>
      <c r="AB5" s="1271" t="s">
        <v>1972</v>
      </c>
      <c r="AC5" s="71"/>
      <c r="AD5" s="71" t="s">
        <v>1973</v>
      </c>
      <c r="AE5" s="1270" t="s">
        <v>1974</v>
      </c>
      <c r="AF5" s="1271" t="s">
        <v>1975</v>
      </c>
      <c r="AG5" s="70" t="s">
        <v>1976</v>
      </c>
      <c r="AH5" s="1270" t="s">
        <v>1977</v>
      </c>
      <c r="AI5" s="2306" t="s">
        <v>1978</v>
      </c>
      <c r="AJ5" s="2306" t="s">
        <v>1979</v>
      </c>
      <c r="AK5" s="1271" t="s">
        <v>1980</v>
      </c>
      <c r="AL5" s="1271" t="s">
        <v>1981</v>
      </c>
      <c r="AM5" s="70" t="s">
        <v>1982</v>
      </c>
      <c r="AN5" s="2307" t="s">
        <v>1983</v>
      </c>
      <c r="AO5" s="2077" t="s">
        <v>1984</v>
      </c>
      <c r="AP5" s="1252" t="s">
        <v>1985</v>
      </c>
      <c r="AQ5" s="2308" t="s">
        <v>1986</v>
      </c>
      <c r="AR5" s="2308" t="s">
        <v>1987</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9" t="str">
        <f>'数据-汇总表'!C19</f>
        <v>车间</v>
      </c>
      <c r="B6" s="2310" t="str">
        <f>IF(A6=0,"","经营性")</f>
        <v>经营性</v>
      </c>
      <c r="C6" s="2311" t="s">
        <v>6</v>
      </c>
      <c r="D6" s="1054">
        <f>SUMIF(项目基本情况!D$12:I$12,C6,项目基本情况!D$14:I$14)</f>
        <v>50</v>
      </c>
      <c r="E6" s="1051">
        <f>IF(B6="","",SUMIF(项目基本情况!D$12:I$12,C6,项目基本情况!D$13:I$13))</f>
        <v>58423</v>
      </c>
      <c r="F6" s="72">
        <f>SUMIF(项目基本情况!D$12:I$12,C6,项目基本情况!D$15:I$15)</f>
        <v>41.7</v>
      </c>
      <c r="G6" s="73">
        <f>IF(ISERROR(ROUND(POWER(1+H6,D6-F6)*(POWER(1+H6,F6)-1)/(POWER(1+H6,D6)-1),3)),0,ROUND(POWER(1+H6,D6-F6)*(POWER(1+H6,F6)-1)/(POWER(1+H6,D6)-1),3))</f>
        <v>0.93700000000000006</v>
      </c>
      <c r="H6" s="802">
        <v>0.04</v>
      </c>
      <c r="I6" s="802">
        <v>4.4999999999999998E-2</v>
      </c>
      <c r="J6" s="74">
        <v>0.08</v>
      </c>
      <c r="K6" s="1254">
        <f>SUMIF('数据-汇总表'!C$19:C$33,A6,'数据-汇总表'!E$19:E$33)</f>
        <v>16346.349999999999</v>
      </c>
      <c r="L6" s="803">
        <v>2500</v>
      </c>
      <c r="M6" s="75">
        <f t="shared" ref="M6:M14" si="0">ROUND(K6*L6/10000,0)</f>
        <v>4087</v>
      </c>
      <c r="N6" s="801">
        <f>ROUND(1-(1-2%)*(2018-2014)/70,2)</f>
        <v>0.94</v>
      </c>
      <c r="O6" s="75" t="str">
        <f>IF($N$5="成新度","——",ROUND(M6*N6,0))</f>
        <v>——</v>
      </c>
      <c r="P6" s="76" t="str">
        <f>IF($N$5="成新度","——",M6-O6)</f>
        <v>——</v>
      </c>
      <c r="Q6" s="804">
        <v>0.1</v>
      </c>
      <c r="R6" s="77">
        <f ca="1">SUMIF('数据-汇总表'!C$19:C$33,A6,'数据-汇总表'!R$19:R$27)</f>
        <v>13177.7</v>
      </c>
      <c r="S6" s="54">
        <f>IF('数据-汇总表'!$I$17="按面积比例",SUMIF('数据-汇总表'!C$19:C$33,A6,'数据-汇总表'!K$19:K$33),SUMIF('数据-汇总表'!C$19:C$33,A6,'数据-汇总表'!N$19:N$33))</f>
        <v>0</v>
      </c>
      <c r="T6" s="1446">
        <f>ROUND($L$14*S6/10000,0)</f>
        <v>0</v>
      </c>
      <c r="U6" s="78">
        <v>1.3</v>
      </c>
      <c r="V6" s="79">
        <v>1.4999999999999999E-2</v>
      </c>
      <c r="W6" s="79">
        <v>0.1</v>
      </c>
      <c r="X6" s="1264"/>
      <c r="Y6" s="80">
        <f>N6</f>
        <v>0.94</v>
      </c>
      <c r="Z6" s="81"/>
      <c r="AA6" s="74"/>
      <c r="AB6" s="74"/>
      <c r="AC6" s="1264"/>
      <c r="AD6" s="82"/>
      <c r="AE6" s="1265">
        <f ca="1">IF(AN6="",0,SUMIF(INDIRECT("'"&amp;AN6&amp;"'"&amp;"!E:E"),$AE$5,INDIRECT("'"&amp;AN6&amp;"'"&amp;"!F:F")))</f>
        <v>41.7</v>
      </c>
      <c r="AF6" s="1807"/>
      <c r="AG6" s="147">
        <f>IF(AF6="",0,AE6-AF6)</f>
        <v>0</v>
      </c>
      <c r="AH6" s="83"/>
      <c r="AI6" s="85">
        <v>365</v>
      </c>
      <c r="AJ6" s="86"/>
      <c r="AK6" s="87">
        <v>0.02</v>
      </c>
      <c r="AL6" s="88">
        <v>2E-3</v>
      </c>
      <c r="AM6" s="89">
        <v>0.02</v>
      </c>
      <c r="AN6" s="2312" t="s">
        <v>3051</v>
      </c>
      <c r="AO6" s="55">
        <f ca="1">SUMIF(INDIRECT("'"&amp;AN6&amp;"'"&amp;"!A:A"),"总价",INDIRECT("'"&amp;AN6&amp;"'"&amp;"!B:B"))</f>
        <v>11110</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1988</v>
      </c>
      <c r="B14" s="2310" t="s">
        <v>1989</v>
      </c>
      <c r="C14" s="2315" t="s">
        <v>1988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1990</v>
      </c>
      <c r="B15" s="2310" t="s">
        <v>1989</v>
      </c>
      <c r="C15" s="2315" t="s">
        <v>1991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1992</v>
      </c>
      <c r="B16" s="97"/>
      <c r="C16" s="1008"/>
      <c r="D16" s="2317"/>
      <c r="E16" s="97"/>
      <c r="F16" s="97"/>
      <c r="G16" s="98">
        <f>ROUND(SUMPRODUCT(G6:G13,K6:K13)/SUMPRODUCT((G6:G13&gt;0)*(K6:K13)),3)</f>
        <v>0.93700000000000006</v>
      </c>
      <c r="H16" s="99">
        <f>ROUND(SUMPRODUCT(H6:H13,K6:K13)/SUMPRODUCT((H6:H13&gt;0)*(K6:K13)),3)</f>
        <v>0.04</v>
      </c>
      <c r="I16" s="100"/>
      <c r="J16" s="100"/>
      <c r="K16" s="101">
        <f>SUM(K6:K15)</f>
        <v>16346.349999999999</v>
      </c>
      <c r="L16" s="102">
        <f>ROUND(M16*10000/SUM(K6:K14),0)</f>
        <v>2500</v>
      </c>
      <c r="M16" s="102">
        <f>SUM(M6:M14)</f>
        <v>4087</v>
      </c>
      <c r="N16" s="103">
        <f>ROUND(SUMPRODUCT(M6:M14,N6:N14)/M16,3)</f>
        <v>0.94</v>
      </c>
      <c r="O16" s="102">
        <f>SUM(O6:O14)</f>
        <v>0</v>
      </c>
      <c r="P16" s="102">
        <f>SUM(P6:P14)</f>
        <v>0</v>
      </c>
      <c r="Q16" s="104">
        <f>ROUND(SUMPRODUCT(Q6:Q13,K6:K13)/SUMPRODUCT((Q6:Q13&gt;0)*(K6:K13)),2)</f>
        <v>0.1</v>
      </c>
      <c r="R16" s="1258">
        <f ca="1">SUM(R6:R13)</f>
        <v>13177.7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1993</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1994</v>
      </c>
      <c r="B19" s="112">
        <v>0</v>
      </c>
      <c r="C19" s="2280" t="s">
        <v>1995</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1996</v>
      </c>
      <c r="B20" s="113">
        <v>1</v>
      </c>
      <c r="C20" s="2280" t="s">
        <v>1997</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1998</v>
      </c>
      <c r="B21" s="113">
        <v>1</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1999</v>
      </c>
      <c r="B22" s="114">
        <f>B19+B20</f>
        <v>1</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2000</v>
      </c>
      <c r="B23" s="114">
        <f>B19+B21</f>
        <v>1</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2001</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2002</v>
      </c>
      <c r="B26" s="2323" t="s">
        <v>2003</v>
      </c>
      <c r="C26" s="2324" t="s">
        <v>2004</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2005</v>
      </c>
      <c r="B27" s="116">
        <v>0</v>
      </c>
      <c r="C27" s="1767" t="s">
        <v>2006</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2007</v>
      </c>
      <c r="B28" s="119">
        <v>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2008</v>
      </c>
      <c r="B29" s="121">
        <v>0</v>
      </c>
      <c r="C29" s="1767" t="s">
        <v>2009</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2010</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2011</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2012</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2013</v>
      </c>
      <c r="B33" s="726">
        <v>0.05</v>
      </c>
      <c r="C33" s="1766" t="s">
        <v>2014</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2015</v>
      </c>
      <c r="B34" s="122">
        <v>0</v>
      </c>
      <c r="C34" s="1766" t="s">
        <v>2016</v>
      </c>
      <c r="D34" s="2281" t="s">
        <v>2017</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2018</v>
      </c>
      <c r="B35" s="119">
        <v>150</v>
      </c>
      <c r="C35" s="1766" t="s">
        <v>2019</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2020</v>
      </c>
      <c r="B36" s="123">
        <v>1.4999999999999999E-2</v>
      </c>
      <c r="C36" s="1766" t="s">
        <v>2021</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2022</v>
      </c>
      <c r="B37" s="124">
        <v>0.02</v>
      </c>
      <c r="C37" s="1766" t="s">
        <v>2023</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2024</v>
      </c>
      <c r="B38" s="122">
        <v>0.02</v>
      </c>
      <c r="C38" s="1766" t="s">
        <v>2023</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2025</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2026</v>
      </c>
      <c r="B40" s="1303">
        <f ca="1">存贷款利率!G1</f>
        <v>4.3499999999999997E-2</v>
      </c>
      <c r="C40" s="1766" t="s">
        <v>2027</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2028</v>
      </c>
      <c r="B41" s="125">
        <f>B42+B43</f>
        <v>5.5000000000000007E-2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2029</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2030</v>
      </c>
      <c r="B43" s="127">
        <f>B42*(B44+B45+B46)+B47</f>
        <v>5.000000000000001E-3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2031</v>
      </c>
      <c r="B44" s="128">
        <v>0.05</v>
      </c>
      <c r="C44" s="1766" t="s">
        <v>2032</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2033</v>
      </c>
      <c r="B45" s="126">
        <v>0.03</v>
      </c>
      <c r="C45" s="1767" t="s">
        <v>2034</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2035</v>
      </c>
      <c r="B46" s="126">
        <v>0.02</v>
      </c>
      <c r="C46" s="1767" t="s">
        <v>2036</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2037</v>
      </c>
      <c r="B47" s="129">
        <v>0</v>
      </c>
      <c r="C47" s="1767" t="s">
        <v>2038</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2039</v>
      </c>
      <c r="B48" s="130">
        <v>0.03</v>
      </c>
      <c r="C48" s="1774" t="s">
        <v>2040</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2041</v>
      </c>
      <c r="B49" s="126">
        <v>5.0000000000000001E-4</v>
      </c>
      <c r="C49" s="1774" t="s">
        <v>2042</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2043</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2044</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2045</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2046</v>
      </c>
      <c r="B53" s="2339" t="s">
        <v>55</v>
      </c>
      <c r="C53" s="1430" t="s">
        <v>2047</v>
      </c>
      <c r="D53" s="2340" t="s">
        <v>2048</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2049</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2050</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2051</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2052</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2053</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2054</v>
      </c>
      <c r="B59" s="84">
        <v>1.5</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2055</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2056</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2057</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2058</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3" sqref="G13"/>
    </sheetView>
  </sheetViews>
  <sheetFormatPr defaultRowHeight="14.25"/>
  <cols>
    <col min="1" max="1" width="9.5" style="2372"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71"/>
    <col min="30" max="16384" width="9" style="2372"/>
  </cols>
  <sheetData>
    <row r="1" spans="1:29" s="2365" customFormat="1" ht="19.5" thickBot="1">
      <c r="A1" s="3043" t="s">
        <v>2059</v>
      </c>
      <c r="B1" s="3044"/>
      <c r="C1" s="3044"/>
      <c r="D1" s="3044"/>
      <c r="E1" s="3044"/>
      <c r="F1" s="3044"/>
      <c r="G1" s="3044"/>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2060</v>
      </c>
      <c r="D2" s="2369"/>
      <c r="E2" s="2370"/>
      <c r="F2" s="2289"/>
      <c r="G2" s="2368" t="s">
        <v>2061</v>
      </c>
      <c r="H2" s="2371"/>
      <c r="I2" s="2371"/>
      <c r="J2" s="2371"/>
      <c r="K2" s="2371"/>
      <c r="L2" s="2371"/>
      <c r="M2" s="2371"/>
      <c r="N2" s="2371"/>
      <c r="O2" s="2371"/>
      <c r="P2" s="2371"/>
      <c r="Q2" s="2371"/>
      <c r="R2" s="2371"/>
    </row>
    <row r="3" spans="1:29" ht="54">
      <c r="A3" s="415" t="s">
        <v>2062</v>
      </c>
      <c r="B3" s="1271" t="s">
        <v>2063</v>
      </c>
      <c r="C3" s="2373" t="s">
        <v>2064</v>
      </c>
      <c r="D3" s="2374"/>
      <c r="E3" s="431" t="s">
        <v>2062</v>
      </c>
      <c r="F3" s="2375" t="s">
        <v>2065</v>
      </c>
      <c r="G3" s="2949" t="s">
        <v>3063</v>
      </c>
      <c r="H3" s="2371"/>
      <c r="I3" s="2371"/>
      <c r="J3" s="2371"/>
      <c r="K3" s="2371"/>
      <c r="L3" s="2371"/>
      <c r="M3" s="2371"/>
      <c r="N3" s="2371"/>
      <c r="O3" s="2371"/>
      <c r="P3" s="2371"/>
      <c r="Q3" s="2371"/>
      <c r="R3" s="2371"/>
    </row>
    <row r="4" spans="1:29" ht="41.25">
      <c r="A4" s="431"/>
      <c r="B4" s="1798" t="s">
        <v>2066</v>
      </c>
      <c r="C4" s="2376" t="s">
        <v>2067</v>
      </c>
      <c r="D4" s="2374"/>
      <c r="E4" s="2377"/>
      <c r="F4" s="42" t="s">
        <v>2068</v>
      </c>
      <c r="G4" s="2950" t="s">
        <v>3065</v>
      </c>
      <c r="H4" s="2371"/>
      <c r="I4" s="2371"/>
      <c r="J4" s="2371"/>
      <c r="K4" s="2371"/>
      <c r="L4" s="2371"/>
      <c r="M4" s="2371"/>
      <c r="N4" s="2371"/>
      <c r="O4" s="2371"/>
      <c r="P4" s="2371"/>
      <c r="Q4" s="2371"/>
      <c r="R4" s="2371"/>
    </row>
    <row r="5" spans="1:29" ht="41.25">
      <c r="A5" s="431"/>
      <c r="B5" s="1798" t="s">
        <v>2070</v>
      </c>
      <c r="C5" s="2376" t="s">
        <v>2071</v>
      </c>
      <c r="D5" s="2374"/>
      <c r="E5" s="2377"/>
      <c r="F5" s="1798" t="s">
        <v>2072</v>
      </c>
      <c r="G5" s="2950" t="s">
        <v>3065</v>
      </c>
      <c r="H5" s="2371"/>
      <c r="I5" s="2371"/>
      <c r="J5" s="2371"/>
      <c r="K5" s="2371"/>
      <c r="L5" s="2371"/>
      <c r="M5" s="2371"/>
      <c r="N5" s="2371"/>
      <c r="O5" s="2371"/>
      <c r="P5" s="2371"/>
      <c r="Q5" s="2371"/>
      <c r="R5" s="2371"/>
    </row>
    <row r="6" spans="1:29" ht="54">
      <c r="A6" s="431"/>
      <c r="B6" s="1798" t="s">
        <v>2074</v>
      </c>
      <c r="C6" s="2378" t="s">
        <v>2069</v>
      </c>
      <c r="D6" s="2374"/>
      <c r="E6" s="2377"/>
      <c r="F6" s="1798" t="s">
        <v>2075</v>
      </c>
      <c r="G6" s="2950" t="s">
        <v>3066</v>
      </c>
      <c r="H6" s="2371"/>
      <c r="I6" s="2371"/>
      <c r="J6" s="2371"/>
      <c r="K6" s="2371"/>
      <c r="L6" s="2371"/>
      <c r="M6" s="2371"/>
      <c r="N6" s="2371"/>
      <c r="O6" s="2371"/>
      <c r="P6" s="2371"/>
      <c r="Q6" s="2371"/>
      <c r="R6" s="2371"/>
    </row>
    <row r="7" spans="1:29" ht="27.75" thickBot="1">
      <c r="A7" s="431"/>
      <c r="B7" s="1798" t="s">
        <v>2072</v>
      </c>
      <c r="C7" s="2378" t="s">
        <v>2073</v>
      </c>
      <c r="D7" s="2379"/>
      <c r="E7" s="2380"/>
      <c r="F7" s="2381" t="s">
        <v>2077</v>
      </c>
      <c r="G7" s="2951" t="s">
        <v>3065</v>
      </c>
      <c r="H7" s="2371"/>
      <c r="I7" s="2371"/>
      <c r="J7" s="2371"/>
      <c r="K7" s="2371"/>
      <c r="L7" s="2371"/>
      <c r="M7" s="2371"/>
      <c r="N7" s="2371"/>
      <c r="O7" s="2371"/>
      <c r="P7" s="2371"/>
      <c r="Q7" s="2371"/>
      <c r="R7" s="2371"/>
    </row>
    <row r="8" spans="1:29" ht="27">
      <c r="A8" s="431"/>
      <c r="B8" s="1798" t="s">
        <v>2075</v>
      </c>
      <c r="C8" s="2378" t="s">
        <v>2076</v>
      </c>
      <c r="D8" s="2379"/>
      <c r="E8" s="2379"/>
      <c r="F8" s="1136"/>
      <c r="G8" s="1136"/>
      <c r="H8" s="2371"/>
      <c r="I8" s="2371"/>
      <c r="J8" s="2371"/>
      <c r="K8" s="2371"/>
      <c r="L8" s="2371"/>
      <c r="M8" s="2371"/>
      <c r="N8" s="2371"/>
      <c r="O8" s="2371"/>
      <c r="P8" s="2371"/>
      <c r="Q8" s="2371"/>
      <c r="R8" s="2371"/>
    </row>
    <row r="9" spans="1:29" ht="27">
      <c r="A9" s="431"/>
      <c r="B9" s="1798" t="s">
        <v>2078</v>
      </c>
      <c r="C9" s="2376" t="s">
        <v>2079</v>
      </c>
      <c r="D9" s="2374"/>
      <c r="E9" s="2379"/>
      <c r="F9" s="1136"/>
      <c r="G9" s="1136"/>
      <c r="H9" s="2371"/>
      <c r="I9" s="2371"/>
      <c r="J9" s="2371"/>
      <c r="K9" s="2371"/>
      <c r="L9" s="2371"/>
      <c r="M9" s="2371"/>
      <c r="N9" s="2371"/>
      <c r="O9" s="2371"/>
      <c r="P9" s="2371"/>
      <c r="Q9" s="2371"/>
      <c r="R9" s="2371"/>
    </row>
    <row r="10" spans="1:29" s="117" customFormat="1" ht="15.75" thickBot="1">
      <c r="A10" s="2382"/>
      <c r="B10" s="2383" t="s">
        <v>2080</v>
      </c>
      <c r="C10" s="2384"/>
      <c r="D10" s="2374"/>
      <c r="E10" s="2374"/>
      <c r="F10" s="1136"/>
      <c r="G10" s="1136"/>
      <c r="H10" s="2385"/>
      <c r="I10" s="2386"/>
      <c r="J10" s="2387"/>
      <c r="K10" s="2385"/>
      <c r="L10" s="2386"/>
      <c r="M10" s="2387"/>
      <c r="N10" s="2385"/>
      <c r="O10" s="2386"/>
      <c r="P10" s="2387"/>
      <c r="Q10" s="2385"/>
      <c r="R10" s="2386"/>
      <c r="S10" s="2371"/>
      <c r="T10" s="2371"/>
      <c r="U10" s="2371"/>
      <c r="V10" s="2371"/>
      <c r="W10" s="2371"/>
      <c r="X10" s="2371"/>
      <c r="Y10" s="2371"/>
      <c r="Z10" s="2371"/>
      <c r="AA10" s="2371"/>
      <c r="AB10" s="2371"/>
      <c r="AC10" s="2371"/>
    </row>
    <row r="11" spans="1:29" s="117" customFormat="1" ht="15">
      <c r="A11" s="2388"/>
      <c r="B11" s="2379"/>
      <c r="C11" s="2374"/>
      <c r="D11" s="2374"/>
      <c r="E11" s="2374"/>
      <c r="F11" s="2379"/>
      <c r="G11" s="1154"/>
      <c r="H11" s="2385"/>
      <c r="I11" s="2386"/>
      <c r="J11" s="2387"/>
      <c r="K11" s="2385"/>
      <c r="L11" s="2386"/>
      <c r="M11" s="2387"/>
      <c r="N11" s="2385"/>
      <c r="O11" s="2386"/>
      <c r="P11" s="2387"/>
      <c r="Q11" s="2385"/>
      <c r="R11" s="2386"/>
      <c r="S11" s="2371"/>
      <c r="T11" s="2371"/>
      <c r="U11" s="2371"/>
      <c r="V11" s="2371"/>
      <c r="W11" s="2371"/>
      <c r="X11" s="2371"/>
      <c r="Y11" s="2371"/>
      <c r="Z11" s="2371"/>
      <c r="AA11" s="2371"/>
      <c r="AB11" s="2371"/>
      <c r="AC11" s="2371"/>
    </row>
    <row r="12" spans="1:29" s="2365" customFormat="1" ht="18">
      <c r="A12" s="2388"/>
      <c r="B12" s="2379"/>
      <c r="C12" s="2374"/>
      <c r="D12" s="2389"/>
      <c r="E12" s="2374"/>
      <c r="F12" s="2379"/>
      <c r="G12" s="1154"/>
      <c r="H12" s="2390"/>
      <c r="I12" s="2391"/>
      <c r="J12" s="2390"/>
      <c r="K12" s="2390"/>
      <c r="L12" s="2392"/>
      <c r="M12" s="2390"/>
      <c r="N12" s="2393"/>
      <c r="O12" s="2394"/>
      <c r="P12" s="2393"/>
      <c r="Q12" s="2393"/>
      <c r="R12" s="2363"/>
      <c r="S12" s="2364"/>
      <c r="T12" s="2364"/>
      <c r="U12" s="2364"/>
      <c r="V12" s="2364"/>
      <c r="W12" s="2364"/>
      <c r="X12" s="2364"/>
      <c r="Y12" s="2364"/>
      <c r="Z12" s="2364"/>
      <c r="AA12" s="2364"/>
      <c r="AB12" s="2364"/>
      <c r="AC12" s="2364"/>
    </row>
    <row r="13" spans="1:29" ht="19.5" thickBot="1">
      <c r="A13" s="2395" t="s">
        <v>2081</v>
      </c>
      <c r="B13" s="2389"/>
      <c r="C13" s="2389"/>
      <c r="D13" s="2396"/>
      <c r="E13" s="2389"/>
      <c r="F13" s="2389"/>
      <c r="G13" s="2389"/>
    </row>
    <row r="14" spans="1:29" ht="15.75" thickBot="1">
      <c r="A14" s="2400"/>
      <c r="B14" s="2401"/>
      <c r="C14" s="2402" t="s">
        <v>2082</v>
      </c>
      <c r="D14" s="2374"/>
      <c r="E14" s="2403"/>
      <c r="F14" s="2403"/>
      <c r="G14" s="2368" t="s">
        <v>2083</v>
      </c>
    </row>
    <row r="15" spans="1:29" ht="57">
      <c r="A15" s="68" t="s">
        <v>2084</v>
      </c>
      <c r="B15" s="1270" t="s">
        <v>2063</v>
      </c>
      <c r="C15" s="2404" t="str">
        <f>C3</f>
        <v>估价对象周边居住用地比例、居住小区规模和社区发展完善程度，综合评价居住社区成熟度一般</v>
      </c>
      <c r="D15" s="2374"/>
      <c r="E15" s="2405" t="s">
        <v>2085</v>
      </c>
      <c r="F15" s="1270" t="s">
        <v>2086</v>
      </c>
      <c r="G15" s="135" t="str">
        <f>G3</f>
        <v>较好</v>
      </c>
    </row>
    <row r="16" spans="1:29" ht="42.75">
      <c r="A16" s="645"/>
      <c r="B16" s="2406" t="s">
        <v>2066</v>
      </c>
      <c r="C16" s="2407" t="str">
        <f>C4</f>
        <v>估价对象位于XX商圈，周边商业氛围成熟，人流量大，商业繁华度好</v>
      </c>
      <c r="D16" s="2374"/>
      <c r="E16" s="2408"/>
      <c r="F16" s="2409" t="s">
        <v>2068</v>
      </c>
      <c r="G16" s="136" t="str">
        <f>G4</f>
        <v>一般</v>
      </c>
    </row>
    <row r="17" spans="1:18" ht="42.75">
      <c r="A17" s="645"/>
      <c r="B17" s="2406" t="s">
        <v>2070</v>
      </c>
      <c r="C17" s="2407" t="str">
        <f>C5</f>
        <v>估价对象位于XX商圈，周边办公楼项目较多，入驻率高，办公集聚程度较好</v>
      </c>
      <c r="D17" s="2379"/>
      <c r="E17" s="2408"/>
      <c r="F17" s="2409" t="s">
        <v>2087</v>
      </c>
      <c r="G17" s="2948" t="s">
        <v>3062</v>
      </c>
    </row>
    <row r="18" spans="1:18" ht="57">
      <c r="A18" s="645"/>
      <c r="B18" s="2409" t="s">
        <v>2074</v>
      </c>
      <c r="C18" s="136" t="str">
        <f>C6</f>
        <v>估价对象周边道路状况、公共交通通达情况、停车便捷程度，综合评价交通便捷度较好</v>
      </c>
      <c r="D18" s="2379"/>
      <c r="E18" s="2408"/>
      <c r="F18" s="2409" t="s">
        <v>2077</v>
      </c>
      <c r="G18" s="136" t="str">
        <f>G7</f>
        <v>一般</v>
      </c>
    </row>
    <row r="19" spans="1:18" ht="15">
      <c r="A19" s="645"/>
      <c r="B19" s="2409" t="s">
        <v>2088</v>
      </c>
      <c r="C19" s="1572"/>
      <c r="D19" s="2374"/>
      <c r="E19" s="2408"/>
      <c r="F19" s="1798" t="s">
        <v>2072</v>
      </c>
      <c r="G19" s="136" t="str">
        <f>G5</f>
        <v>一般</v>
      </c>
    </row>
    <row r="20" spans="1:18" ht="28.5">
      <c r="A20" s="645"/>
      <c r="B20" s="2409" t="s">
        <v>2089</v>
      </c>
      <c r="C20" s="2407" t="str">
        <f>C9</f>
        <v>区域自然环境：；人文环境；综合评价环境状况一般</v>
      </c>
      <c r="D20" s="2379"/>
      <c r="E20" s="2408"/>
      <c r="F20" s="1798" t="s">
        <v>2090</v>
      </c>
      <c r="G20" s="136" t="str">
        <f>G6</f>
        <v>五通</v>
      </c>
    </row>
    <row r="21" spans="1:18" ht="28.5">
      <c r="A21" s="645"/>
      <c r="B21" s="1798" t="s">
        <v>2072</v>
      </c>
      <c r="C21" s="136" t="str">
        <f>C7</f>
        <v>估价对象所在区域公共配套设施齐备情况</v>
      </c>
      <c r="D21" s="2374"/>
      <c r="E21" s="2408"/>
      <c r="F21" s="2409" t="s">
        <v>2091</v>
      </c>
      <c r="G21" s="2410" t="s">
        <v>3061</v>
      </c>
    </row>
    <row r="22" spans="1:18" ht="13.5" customHeight="1">
      <c r="A22" s="645"/>
      <c r="B22" s="1798" t="s">
        <v>2075</v>
      </c>
      <c r="C22" s="136" t="str">
        <f>C8</f>
        <v>估价对象所在区域基础设施水平</v>
      </c>
      <c r="D22" s="2374"/>
      <c r="E22" s="2408"/>
      <c r="F22" s="2409" t="s">
        <v>2080</v>
      </c>
      <c r="G22" s="2948" t="s">
        <v>3060</v>
      </c>
    </row>
    <row r="23" spans="1:18" s="2371" customFormat="1" ht="15.75" thickBot="1">
      <c r="A23" s="645"/>
      <c r="B23" s="2409" t="s">
        <v>2091</v>
      </c>
      <c r="C23" s="2410"/>
      <c r="D23" s="2397"/>
      <c r="E23" s="2411"/>
      <c r="F23" s="2412" t="s">
        <v>2092</v>
      </c>
      <c r="G23" s="2413"/>
      <c r="H23" s="2397"/>
      <c r="I23" s="2398"/>
      <c r="J23" s="2397"/>
      <c r="K23" s="2397"/>
      <c r="L23" s="2398"/>
      <c r="M23" s="2397"/>
      <c r="N23" s="2397"/>
      <c r="O23" s="2398"/>
      <c r="P23" s="2397"/>
      <c r="Q23" s="2397"/>
      <c r="R23" s="2399"/>
    </row>
    <row r="24" spans="1:18" s="2371" customFormat="1" ht="15.75" thickBot="1">
      <c r="A24" s="2414"/>
      <c r="B24" s="2412" t="s">
        <v>2093</v>
      </c>
      <c r="C24" s="137">
        <f>C10</f>
        <v>0</v>
      </c>
      <c r="D24" s="2397"/>
      <c r="E24" s="2415"/>
      <c r="F24" s="2415"/>
      <c r="G24" s="2416"/>
      <c r="H24" s="2397"/>
      <c r="I24" s="2398"/>
      <c r="J24" s="2397"/>
      <c r="K24" s="2397"/>
      <c r="L24" s="2398"/>
      <c r="M24" s="2397"/>
      <c r="N24" s="2397"/>
      <c r="O24" s="2398"/>
      <c r="P24" s="2397"/>
      <c r="Q24" s="2397"/>
      <c r="R24" s="2399"/>
    </row>
    <row r="25" spans="1:18" s="2371" customFormat="1">
      <c r="B25" s="2397"/>
      <c r="C25" s="2397"/>
      <c r="D25" s="2397"/>
      <c r="H25" s="2397"/>
      <c r="I25" s="2398"/>
      <c r="J25" s="2397"/>
      <c r="K25" s="2397"/>
      <c r="L25" s="2398"/>
      <c r="M25" s="2397"/>
      <c r="N25" s="2397"/>
      <c r="O25" s="2398"/>
      <c r="P25" s="2397"/>
      <c r="Q25" s="2397"/>
      <c r="R25" s="2399"/>
    </row>
    <row r="26" spans="1:18" s="2371" customFormat="1">
      <c r="B26" s="2397"/>
      <c r="C26" s="2397"/>
      <c r="D26" s="2397"/>
      <c r="H26" s="2397"/>
      <c r="I26" s="2398"/>
      <c r="J26" s="2397"/>
      <c r="K26" s="2397"/>
      <c r="L26" s="2398"/>
      <c r="M26" s="2397"/>
      <c r="N26" s="2397"/>
      <c r="O26" s="2398"/>
      <c r="P26" s="2397"/>
      <c r="Q26" s="2397"/>
      <c r="R26" s="2399"/>
    </row>
    <row r="27" spans="1:18" s="2371" customFormat="1">
      <c r="B27" s="2397"/>
      <c r="C27" s="2397"/>
      <c r="D27" s="2397"/>
      <c r="H27" s="2397"/>
      <c r="I27" s="2398"/>
      <c r="J27" s="2397"/>
      <c r="K27" s="2397"/>
      <c r="L27" s="2398"/>
      <c r="M27" s="2397"/>
      <c r="N27" s="2397"/>
      <c r="O27" s="2398"/>
      <c r="P27" s="2397"/>
      <c r="Q27" s="2397"/>
      <c r="R27" s="2399"/>
    </row>
    <row r="28" spans="1:18" s="2371" customFormat="1">
      <c r="B28" s="2397"/>
      <c r="C28" s="2397"/>
      <c r="D28" s="2397"/>
      <c r="H28" s="2397"/>
      <c r="I28" s="2398"/>
      <c r="J28" s="2397"/>
      <c r="K28" s="2397"/>
      <c r="L28" s="2398"/>
      <c r="M28" s="2397"/>
      <c r="N28" s="2397"/>
      <c r="O28" s="2398"/>
      <c r="P28" s="2397"/>
      <c r="Q28" s="2397"/>
      <c r="R28" s="2399"/>
    </row>
    <row r="29" spans="1:18" s="2371" customFormat="1">
      <c r="B29" s="2397"/>
      <c r="C29" s="2397"/>
      <c r="D29" s="2397"/>
      <c r="H29" s="2397"/>
      <c r="I29" s="2398"/>
      <c r="J29" s="2397"/>
      <c r="K29" s="2397"/>
      <c r="L29" s="2398"/>
      <c r="M29" s="2397"/>
      <c r="N29" s="2397"/>
      <c r="O29" s="2398"/>
      <c r="P29" s="2397"/>
      <c r="Q29" s="2397"/>
      <c r="R29" s="2399"/>
    </row>
    <row r="30" spans="1:18" s="2371" customFormat="1">
      <c r="B30" s="2397"/>
      <c r="C30" s="2397"/>
      <c r="D30" s="2397"/>
      <c r="H30" s="2397"/>
      <c r="I30" s="2398"/>
      <c r="J30" s="2397"/>
      <c r="K30" s="2397"/>
      <c r="L30" s="2398"/>
      <c r="M30" s="2397"/>
      <c r="N30" s="2397"/>
      <c r="O30" s="2398"/>
      <c r="P30" s="2397"/>
      <c r="Q30" s="2397"/>
      <c r="R30" s="2399"/>
    </row>
    <row r="31" spans="1:18" s="2371" customFormat="1">
      <c r="B31" s="2397"/>
      <c r="C31" s="2397"/>
      <c r="D31" s="2397"/>
      <c r="H31" s="2397"/>
      <c r="I31" s="2398"/>
      <c r="J31" s="2397"/>
      <c r="K31" s="2397"/>
      <c r="L31" s="2398"/>
      <c r="M31" s="2397"/>
      <c r="N31" s="2397"/>
      <c r="O31" s="2398"/>
      <c r="P31" s="2397"/>
      <c r="Q31" s="2397"/>
      <c r="R31" s="2399"/>
    </row>
    <row r="32" spans="1:18" s="2371" customFormat="1">
      <c r="B32" s="2397"/>
      <c r="C32" s="2397"/>
      <c r="D32" s="2397"/>
      <c r="H32" s="2397"/>
      <c r="I32" s="2398"/>
      <c r="J32" s="2397"/>
      <c r="K32" s="2397"/>
      <c r="L32" s="2398"/>
      <c r="M32" s="2397"/>
      <c r="N32" s="2397"/>
      <c r="O32" s="2398"/>
      <c r="P32" s="2397"/>
      <c r="Q32" s="2397"/>
      <c r="R32" s="2399"/>
    </row>
    <row r="33" spans="2:18" s="2371" customFormat="1">
      <c r="B33" s="2397"/>
      <c r="C33" s="2397"/>
      <c r="D33" s="2397"/>
      <c r="H33" s="2397"/>
      <c r="I33" s="2398"/>
      <c r="J33" s="2397"/>
      <c r="K33" s="2397"/>
      <c r="L33" s="2398"/>
      <c r="M33" s="2397"/>
      <c r="N33" s="2397"/>
      <c r="O33" s="2398"/>
      <c r="P33" s="2397"/>
      <c r="Q33" s="2397"/>
      <c r="R33" s="2399"/>
    </row>
    <row r="34" spans="2:18" s="2371" customFormat="1">
      <c r="B34" s="2397"/>
      <c r="C34" s="2397"/>
      <c r="D34" s="2397"/>
      <c r="H34" s="2397"/>
      <c r="I34" s="2398"/>
      <c r="J34" s="2397"/>
      <c r="K34" s="2397"/>
      <c r="L34" s="2398"/>
      <c r="M34" s="2397"/>
      <c r="N34" s="2397"/>
      <c r="O34" s="2398"/>
      <c r="P34" s="2397"/>
      <c r="Q34" s="2397"/>
      <c r="R34" s="2399"/>
    </row>
    <row r="35" spans="2:18" s="2371" customFormat="1">
      <c r="B35" s="2397"/>
      <c r="C35" s="2397"/>
      <c r="D35" s="2397"/>
      <c r="H35" s="2397"/>
      <c r="I35" s="2398"/>
      <c r="J35" s="2397"/>
      <c r="K35" s="2397"/>
      <c r="L35" s="2398"/>
      <c r="M35" s="2397"/>
      <c r="N35" s="2397"/>
      <c r="O35" s="2398"/>
      <c r="P35" s="2397"/>
      <c r="Q35" s="2397"/>
      <c r="R35" s="2399"/>
    </row>
    <row r="36" spans="2:18" s="2371" customFormat="1">
      <c r="B36" s="2397"/>
      <c r="C36" s="2397"/>
      <c r="D36" s="2397"/>
      <c r="H36" s="2397"/>
      <c r="I36" s="2398"/>
      <c r="J36" s="2397"/>
      <c r="K36" s="2397"/>
      <c r="L36" s="2398"/>
      <c r="M36" s="2397"/>
      <c r="N36" s="2397"/>
      <c r="O36" s="2398"/>
      <c r="P36" s="2397"/>
      <c r="Q36" s="2397"/>
      <c r="R36" s="2399"/>
    </row>
    <row r="37" spans="2:18" s="2371" customFormat="1">
      <c r="B37" s="2397"/>
      <c r="C37" s="2397"/>
      <c r="D37" s="2397"/>
      <c r="H37" s="2397"/>
      <c r="I37" s="2398"/>
      <c r="J37" s="2397"/>
      <c r="K37" s="2397"/>
      <c r="L37" s="2398"/>
      <c r="M37" s="2397"/>
      <c r="N37" s="2397"/>
      <c r="O37" s="2398"/>
      <c r="P37" s="2397"/>
      <c r="Q37" s="2397"/>
      <c r="R37" s="2399"/>
    </row>
    <row r="38" spans="2:18" s="2371" customFormat="1">
      <c r="B38" s="2397"/>
      <c r="C38" s="2397"/>
      <c r="D38" s="2397"/>
      <c r="E38" s="2397"/>
      <c r="F38" s="2397"/>
      <c r="G38" s="2398"/>
      <c r="H38" s="2397"/>
      <c r="I38" s="2398"/>
      <c r="J38" s="2397"/>
      <c r="K38" s="2397"/>
      <c r="L38" s="2398"/>
      <c r="M38" s="2397"/>
      <c r="N38" s="2397"/>
      <c r="O38" s="2398"/>
      <c r="P38" s="2397"/>
      <c r="Q38" s="2397"/>
      <c r="R38" s="2399"/>
    </row>
    <row r="39" spans="2:18" s="2371" customFormat="1">
      <c r="B39" s="2397"/>
      <c r="C39" s="2397"/>
      <c r="D39" s="2397"/>
      <c r="E39" s="2397"/>
      <c r="F39" s="2397"/>
      <c r="G39" s="2398"/>
      <c r="H39" s="2397"/>
      <c r="I39" s="2398"/>
      <c r="J39" s="2397"/>
      <c r="K39" s="2397"/>
      <c r="L39" s="2398"/>
      <c r="M39" s="2397"/>
      <c r="N39" s="2397"/>
      <c r="O39" s="2398"/>
      <c r="P39" s="2397"/>
      <c r="Q39" s="2397"/>
      <c r="R39" s="2399"/>
    </row>
    <row r="40" spans="2:18" s="2371" customFormat="1">
      <c r="B40" s="2397"/>
      <c r="C40" s="2397"/>
      <c r="D40" s="2397"/>
      <c r="E40" s="2397"/>
      <c r="F40" s="2397"/>
      <c r="G40" s="2398"/>
      <c r="H40" s="2397"/>
      <c r="I40" s="2398"/>
      <c r="J40" s="2397"/>
      <c r="K40" s="2397"/>
      <c r="L40" s="2398"/>
      <c r="M40" s="2397"/>
      <c r="N40" s="2397"/>
      <c r="O40" s="2398"/>
      <c r="P40" s="2397"/>
      <c r="Q40" s="2397"/>
      <c r="R40" s="2399"/>
    </row>
    <row r="41" spans="2:18" s="2371" customFormat="1">
      <c r="B41" s="2397"/>
      <c r="C41" s="2397"/>
      <c r="D41" s="2397"/>
      <c r="E41" s="2397"/>
      <c r="F41" s="2397"/>
      <c r="G41" s="2398"/>
      <c r="H41" s="2397"/>
      <c r="I41" s="2398"/>
      <c r="J41" s="2397"/>
      <c r="K41" s="2397"/>
      <c r="L41" s="2398"/>
      <c r="M41" s="2397"/>
      <c r="N41" s="2397"/>
      <c r="O41" s="2398"/>
      <c r="P41" s="2397"/>
      <c r="Q41" s="2397"/>
      <c r="R41" s="2399"/>
    </row>
    <row r="42" spans="2:18" s="2371" customFormat="1">
      <c r="B42" s="2397"/>
      <c r="C42" s="2397"/>
      <c r="D42" s="2397"/>
      <c r="E42" s="2397"/>
      <c r="F42" s="2397"/>
      <c r="G42" s="2398"/>
      <c r="H42" s="2397"/>
      <c r="I42" s="2398"/>
      <c r="J42" s="2397"/>
      <c r="K42" s="2397"/>
      <c r="L42" s="2398"/>
      <c r="M42" s="2397"/>
      <c r="N42" s="2397"/>
      <c r="O42" s="2398"/>
      <c r="P42" s="2397"/>
      <c r="Q42" s="2397"/>
      <c r="R42" s="2399"/>
    </row>
    <row r="43" spans="2:18" s="2371" customFormat="1">
      <c r="B43" s="2397"/>
      <c r="C43" s="2397"/>
      <c r="D43" s="2397"/>
      <c r="E43" s="2397"/>
      <c r="F43" s="2397"/>
      <c r="G43" s="2398"/>
      <c r="H43" s="2397"/>
      <c r="I43" s="2398"/>
      <c r="J43" s="2397"/>
      <c r="K43" s="2397"/>
      <c r="L43" s="2398"/>
      <c r="M43" s="2397"/>
      <c r="N43" s="2397"/>
      <c r="O43" s="2398"/>
      <c r="P43" s="2397"/>
      <c r="Q43" s="2397"/>
      <c r="R43" s="2399"/>
    </row>
    <row r="44" spans="2:18" s="2371" customFormat="1">
      <c r="B44" s="2397"/>
      <c r="C44" s="2397"/>
      <c r="D44" s="2397"/>
      <c r="E44" s="2397"/>
      <c r="F44" s="2397"/>
      <c r="G44" s="2398"/>
      <c r="H44" s="2397"/>
      <c r="I44" s="2398"/>
      <c r="J44" s="2397"/>
      <c r="K44" s="2397"/>
      <c r="L44" s="2398"/>
      <c r="M44" s="2397"/>
      <c r="N44" s="2397"/>
      <c r="O44" s="2398"/>
      <c r="P44" s="2397"/>
      <c r="Q44" s="2397"/>
      <c r="R44" s="2399"/>
    </row>
    <row r="45" spans="2:18" s="2371" customFormat="1">
      <c r="B45" s="2397"/>
      <c r="C45" s="2397"/>
      <c r="D45" s="2397"/>
      <c r="E45" s="2397"/>
      <c r="F45" s="2397"/>
      <c r="G45" s="2398"/>
      <c r="H45" s="2397"/>
      <c r="I45" s="2398"/>
      <c r="J45" s="2397"/>
      <c r="K45" s="2397"/>
      <c r="L45" s="2398"/>
      <c r="M45" s="2397"/>
      <c r="N45" s="2397"/>
      <c r="O45" s="2398"/>
      <c r="P45" s="2397"/>
      <c r="Q45" s="2397"/>
      <c r="R45" s="2399"/>
    </row>
    <row r="46" spans="2:18" s="2371" customFormat="1">
      <c r="B46" s="2397"/>
      <c r="C46" s="2397"/>
      <c r="D46" s="2397"/>
      <c r="E46" s="2397"/>
      <c r="F46" s="2397"/>
      <c r="G46" s="2398"/>
      <c r="H46" s="2397"/>
      <c r="I46" s="2398"/>
      <c r="J46" s="2397"/>
      <c r="K46" s="2397"/>
      <c r="L46" s="2398"/>
      <c r="M46" s="2397"/>
      <c r="N46" s="2397"/>
      <c r="O46" s="2398"/>
      <c r="P46" s="2397"/>
      <c r="Q46" s="2397"/>
      <c r="R46" s="2399"/>
    </row>
    <row r="47" spans="2:18" s="2371" customFormat="1">
      <c r="B47" s="2397"/>
      <c r="C47" s="2397"/>
      <c r="D47" s="2397"/>
      <c r="E47" s="2397"/>
      <c r="F47" s="2397"/>
      <c r="G47" s="2398"/>
      <c r="H47" s="2397"/>
      <c r="I47" s="2398"/>
      <c r="J47" s="2397"/>
      <c r="K47" s="2397"/>
      <c r="L47" s="2398"/>
      <c r="M47" s="2397"/>
      <c r="N47" s="2397"/>
      <c r="O47" s="2398"/>
      <c r="P47" s="2397"/>
      <c r="Q47" s="2397"/>
      <c r="R47" s="2399"/>
    </row>
    <row r="48" spans="2:18" s="2371" customFormat="1">
      <c r="B48" s="2397"/>
      <c r="C48" s="2397"/>
      <c r="D48" s="2397"/>
      <c r="E48" s="2397"/>
      <c r="F48" s="2397"/>
      <c r="G48" s="2398"/>
      <c r="H48" s="2397"/>
      <c r="I48" s="2398"/>
      <c r="J48" s="2397"/>
      <c r="K48" s="2397"/>
      <c r="L48" s="2398"/>
      <c r="M48" s="2397"/>
      <c r="N48" s="2397"/>
      <c r="O48" s="2398"/>
      <c r="P48" s="2397"/>
      <c r="Q48" s="2397"/>
      <c r="R48" s="2399"/>
    </row>
    <row r="49" spans="2:18" s="2371" customFormat="1">
      <c r="B49" s="2397"/>
      <c r="C49" s="2397"/>
      <c r="D49" s="2397"/>
      <c r="E49" s="2397"/>
      <c r="F49" s="2397"/>
      <c r="G49" s="2398"/>
      <c r="H49" s="2397"/>
      <c r="I49" s="2398"/>
      <c r="J49" s="2397"/>
      <c r="K49" s="2397"/>
      <c r="L49" s="2398"/>
      <c r="M49" s="2397"/>
      <c r="N49" s="2397"/>
      <c r="O49" s="2398"/>
      <c r="P49" s="2397"/>
      <c r="Q49" s="2397"/>
      <c r="R49" s="2399"/>
    </row>
    <row r="50" spans="2:18" s="2371" customFormat="1">
      <c r="B50" s="2397"/>
      <c r="C50" s="2397"/>
      <c r="D50" s="2397"/>
      <c r="E50" s="2397"/>
      <c r="F50" s="2397"/>
      <c r="G50" s="2398"/>
      <c r="H50" s="2397"/>
      <c r="I50" s="2398"/>
      <c r="J50" s="2397"/>
      <c r="K50" s="2397"/>
      <c r="L50" s="2398"/>
      <c r="M50" s="2397"/>
      <c r="N50" s="2397"/>
      <c r="O50" s="2398"/>
      <c r="P50" s="2397"/>
      <c r="Q50" s="2397"/>
      <c r="R50" s="2399"/>
    </row>
    <row r="51" spans="2:18" s="2371" customFormat="1">
      <c r="B51" s="2397"/>
      <c r="C51" s="2397"/>
      <c r="D51" s="2397"/>
      <c r="E51" s="2397"/>
      <c r="F51" s="2397"/>
      <c r="G51" s="2398"/>
      <c r="H51" s="2397"/>
      <c r="I51" s="2398"/>
      <c r="J51" s="2397"/>
      <c r="K51" s="2397"/>
      <c r="L51" s="2398"/>
      <c r="M51" s="2397"/>
      <c r="N51" s="2397"/>
      <c r="O51" s="2398"/>
      <c r="P51" s="2397"/>
      <c r="Q51" s="2397"/>
      <c r="R51" s="2399"/>
    </row>
    <row r="52" spans="2:18" s="2371" customFormat="1">
      <c r="B52" s="2397"/>
      <c r="C52" s="2397"/>
      <c r="D52" s="2397"/>
      <c r="E52" s="2397"/>
      <c r="F52" s="2397"/>
      <c r="G52" s="2398"/>
      <c r="H52" s="2397"/>
      <c r="I52" s="2398"/>
      <c r="J52" s="2397"/>
      <c r="K52" s="2397"/>
      <c r="L52" s="2398"/>
      <c r="M52" s="2397"/>
      <c r="N52" s="2397"/>
      <c r="O52" s="2398"/>
      <c r="P52" s="2397"/>
      <c r="Q52" s="2397"/>
      <c r="R52" s="2399"/>
    </row>
    <row r="53" spans="2:18" s="2371" customFormat="1">
      <c r="B53" s="2397"/>
      <c r="C53" s="2397"/>
      <c r="D53" s="2397"/>
      <c r="E53" s="2397"/>
      <c r="F53" s="2397"/>
      <c r="G53" s="2398"/>
      <c r="H53" s="2397"/>
      <c r="I53" s="2398"/>
      <c r="J53" s="2397"/>
      <c r="K53" s="2397"/>
      <c r="L53" s="2398"/>
      <c r="M53" s="2397"/>
      <c r="N53" s="2397"/>
      <c r="O53" s="2398"/>
      <c r="P53" s="2397"/>
      <c r="Q53" s="2397"/>
      <c r="R53" s="2399"/>
    </row>
    <row r="54" spans="2:18" s="2371" customFormat="1">
      <c r="B54" s="2397"/>
      <c r="C54" s="2397"/>
      <c r="D54" s="2397"/>
      <c r="E54" s="2397"/>
      <c r="F54" s="2397"/>
      <c r="G54" s="2398"/>
      <c r="H54" s="2397"/>
      <c r="I54" s="2398"/>
      <c r="J54" s="2397"/>
      <c r="K54" s="2397"/>
      <c r="L54" s="2398"/>
      <c r="M54" s="2397"/>
      <c r="N54" s="2397"/>
      <c r="O54" s="2398"/>
      <c r="P54" s="2397"/>
      <c r="Q54" s="2397"/>
      <c r="R54" s="2399"/>
    </row>
    <row r="55" spans="2:18" s="2371" customFormat="1">
      <c r="B55" s="2397"/>
      <c r="C55" s="2397"/>
      <c r="D55" s="2397"/>
      <c r="E55" s="2397"/>
      <c r="F55" s="2397"/>
      <c r="G55" s="2398"/>
      <c r="H55" s="2397"/>
      <c r="I55" s="2398"/>
      <c r="J55" s="2397"/>
      <c r="K55" s="2397"/>
      <c r="L55" s="2398"/>
      <c r="M55" s="2397"/>
      <c r="N55" s="2397"/>
      <c r="O55" s="2398"/>
      <c r="P55" s="2397"/>
      <c r="Q55" s="2397"/>
      <c r="R55" s="2399"/>
    </row>
    <row r="56" spans="2:18" s="2371" customFormat="1">
      <c r="B56" s="2397"/>
      <c r="C56" s="2397"/>
      <c r="D56" s="2397"/>
      <c r="E56" s="2397"/>
      <c r="F56" s="2397"/>
      <c r="G56" s="2398"/>
      <c r="H56" s="2397"/>
      <c r="I56" s="2398"/>
      <c r="J56" s="2397"/>
      <c r="K56" s="2397"/>
      <c r="L56" s="2398"/>
      <c r="M56" s="2397"/>
      <c r="N56" s="2397"/>
      <c r="O56" s="2398"/>
      <c r="P56" s="2397"/>
      <c r="Q56" s="2397"/>
      <c r="R56" s="2399"/>
    </row>
    <row r="57" spans="2:18" s="2371" customFormat="1">
      <c r="B57" s="2397"/>
      <c r="C57" s="2397"/>
      <c r="D57" s="2397"/>
      <c r="E57" s="2397"/>
      <c r="F57" s="2397"/>
      <c r="G57" s="2398"/>
      <c r="H57" s="2397"/>
      <c r="I57" s="2398"/>
      <c r="J57" s="2397"/>
      <c r="K57" s="2397"/>
      <c r="L57" s="2398"/>
      <c r="M57" s="2397"/>
      <c r="N57" s="2397"/>
      <c r="O57" s="2398"/>
      <c r="P57" s="2397"/>
      <c r="Q57" s="2397"/>
      <c r="R57" s="2399"/>
    </row>
    <row r="58" spans="2:18" s="2371" customFormat="1">
      <c r="B58" s="2397"/>
      <c r="C58" s="2397"/>
      <c r="D58" s="2397"/>
      <c r="E58" s="2397"/>
      <c r="F58" s="2397"/>
      <c r="G58" s="2398"/>
      <c r="H58" s="2397"/>
      <c r="I58" s="2398"/>
      <c r="J58" s="2397"/>
      <c r="K58" s="2397"/>
      <c r="L58" s="2398"/>
      <c r="M58" s="2397"/>
      <c r="N58" s="2397"/>
      <c r="O58" s="2398"/>
      <c r="P58" s="2397"/>
      <c r="Q58" s="2397"/>
      <c r="R58" s="2399"/>
    </row>
    <row r="59" spans="2:18" s="2371" customFormat="1">
      <c r="B59" s="2397"/>
      <c r="C59" s="2397"/>
      <c r="D59" s="2397"/>
      <c r="E59" s="2397"/>
      <c r="F59" s="2397"/>
      <c r="G59" s="2398"/>
      <c r="H59" s="2397"/>
      <c r="I59" s="2398"/>
      <c r="J59" s="2397"/>
      <c r="K59" s="2397"/>
      <c r="L59" s="2398"/>
      <c r="M59" s="2397"/>
      <c r="N59" s="2397"/>
      <c r="O59" s="2398"/>
      <c r="P59" s="2397"/>
      <c r="Q59" s="2397"/>
      <c r="R59" s="2399"/>
    </row>
    <row r="60" spans="2:18" s="2371" customFormat="1">
      <c r="B60" s="2397"/>
      <c r="C60" s="2397"/>
      <c r="D60" s="2397"/>
      <c r="E60" s="2397"/>
      <c r="F60" s="2397"/>
      <c r="G60" s="2398"/>
      <c r="H60" s="2397"/>
      <c r="I60" s="2398"/>
      <c r="J60" s="2397"/>
      <c r="K60" s="2397"/>
      <c r="L60" s="2398"/>
      <c r="M60" s="2397"/>
      <c r="N60" s="2397"/>
      <c r="O60" s="2398"/>
      <c r="P60" s="2397"/>
      <c r="Q60" s="2397"/>
      <c r="R60" s="2399"/>
    </row>
    <row r="61" spans="2:18" s="2371" customFormat="1">
      <c r="B61" s="2397"/>
      <c r="C61" s="2397"/>
      <c r="D61" s="2397"/>
      <c r="E61" s="2397"/>
      <c r="F61" s="2397"/>
      <c r="G61" s="2398"/>
      <c r="H61" s="2397"/>
      <c r="I61" s="2398"/>
      <c r="J61" s="2397"/>
      <c r="K61" s="2397"/>
      <c r="L61" s="2398"/>
      <c r="M61" s="2397"/>
      <c r="N61" s="2397"/>
      <c r="O61" s="2398"/>
      <c r="P61" s="2397"/>
      <c r="Q61" s="2397"/>
      <c r="R61" s="2399"/>
    </row>
    <row r="62" spans="2:18" s="2371" customFormat="1">
      <c r="B62" s="2397"/>
      <c r="C62" s="2397"/>
      <c r="D62" s="2397"/>
      <c r="E62" s="2397"/>
      <c r="F62" s="2397"/>
      <c r="G62" s="2398"/>
      <c r="H62" s="2397"/>
      <c r="I62" s="2398"/>
      <c r="J62" s="2397"/>
      <c r="K62" s="2397"/>
      <c r="L62" s="2398"/>
      <c r="M62" s="2397"/>
      <c r="N62" s="2397"/>
      <c r="O62" s="2398"/>
      <c r="P62" s="2397"/>
      <c r="Q62" s="2397"/>
      <c r="R62" s="2399"/>
    </row>
    <row r="63" spans="2:18" s="2371" customFormat="1">
      <c r="B63" s="2397"/>
      <c r="C63" s="2397"/>
      <c r="D63" s="2397"/>
      <c r="E63" s="2397"/>
      <c r="F63" s="2397"/>
      <c r="G63" s="2398"/>
      <c r="H63" s="2397"/>
      <c r="I63" s="2398"/>
      <c r="J63" s="2397"/>
      <c r="K63" s="2397"/>
      <c r="L63" s="2398"/>
      <c r="M63" s="2397"/>
      <c r="N63" s="2397"/>
      <c r="O63" s="2398"/>
      <c r="P63" s="2397"/>
      <c r="Q63" s="2397"/>
      <c r="R63" s="2399"/>
    </row>
    <row r="64" spans="2:18" s="2371" customFormat="1">
      <c r="B64" s="2397"/>
      <c r="C64" s="2397"/>
      <c r="D64" s="2397"/>
      <c r="E64" s="2397"/>
      <c r="F64" s="2397"/>
      <c r="G64" s="2398"/>
      <c r="H64" s="2397"/>
      <c r="I64" s="2398"/>
      <c r="J64" s="2397"/>
      <c r="K64" s="2397"/>
      <c r="L64" s="2398"/>
      <c r="M64" s="2397"/>
      <c r="N64" s="2397"/>
      <c r="O64" s="2398"/>
      <c r="P64" s="2397"/>
      <c r="Q64" s="2397"/>
      <c r="R64" s="2399"/>
    </row>
    <row r="65" spans="2:18" s="2371" customFormat="1">
      <c r="B65" s="2397"/>
      <c r="C65" s="2397"/>
      <c r="D65" s="2397"/>
      <c r="E65" s="2397"/>
      <c r="F65" s="2397"/>
      <c r="G65" s="2398"/>
      <c r="H65" s="2397"/>
      <c r="I65" s="2398"/>
      <c r="J65" s="2397"/>
      <c r="K65" s="2397"/>
      <c r="L65" s="2398"/>
      <c r="M65" s="2397"/>
      <c r="N65" s="2397"/>
      <c r="O65" s="2398"/>
      <c r="P65" s="2397"/>
      <c r="Q65" s="2397"/>
      <c r="R65" s="2399"/>
    </row>
    <row r="66" spans="2:18" s="2371" customFormat="1">
      <c r="B66" s="2397"/>
      <c r="C66" s="2397"/>
      <c r="D66" s="2397"/>
      <c r="E66" s="2397"/>
      <c r="F66" s="2397"/>
      <c r="G66" s="2398"/>
      <c r="H66" s="2397"/>
      <c r="I66" s="2398"/>
      <c r="J66" s="2397"/>
      <c r="K66" s="2397"/>
      <c r="L66" s="2398"/>
      <c r="M66" s="2397"/>
      <c r="N66" s="2397"/>
      <c r="O66" s="2398"/>
      <c r="P66" s="2397"/>
      <c r="Q66" s="2397"/>
      <c r="R66" s="2399"/>
    </row>
    <row r="67" spans="2:18" s="2371" customFormat="1">
      <c r="B67" s="2397"/>
      <c r="C67" s="2397"/>
      <c r="D67" s="2397"/>
      <c r="E67" s="2397"/>
      <c r="F67" s="2397"/>
      <c r="G67" s="2398"/>
      <c r="H67" s="2397"/>
      <c r="I67" s="2398"/>
      <c r="J67" s="2397"/>
      <c r="K67" s="2397"/>
      <c r="L67" s="2398"/>
      <c r="M67" s="2397"/>
      <c r="N67" s="2397"/>
      <c r="O67" s="2398"/>
      <c r="P67" s="2397"/>
      <c r="Q67" s="2397"/>
      <c r="R67" s="2399"/>
    </row>
    <row r="68" spans="2:18" s="2371" customFormat="1">
      <c r="B68" s="2397"/>
      <c r="C68" s="2397"/>
      <c r="D68" s="2397"/>
      <c r="E68" s="2397"/>
      <c r="F68" s="2397"/>
      <c r="G68" s="2398"/>
      <c r="H68" s="2397"/>
      <c r="I68" s="2398"/>
      <c r="J68" s="2397"/>
      <c r="K68" s="2397"/>
      <c r="L68" s="2398"/>
      <c r="M68" s="2397"/>
      <c r="N68" s="2397"/>
      <c r="O68" s="2398"/>
      <c r="P68" s="2397"/>
      <c r="Q68" s="2397"/>
      <c r="R68" s="2399"/>
    </row>
    <row r="69" spans="2:18" s="2371" customFormat="1">
      <c r="B69" s="2397"/>
      <c r="C69" s="2397"/>
      <c r="D69" s="2397"/>
      <c r="E69" s="2397"/>
      <c r="F69" s="2397"/>
      <c r="G69" s="2398"/>
      <c r="H69" s="2397"/>
      <c r="I69" s="2398"/>
      <c r="J69" s="2397"/>
      <c r="K69" s="2397"/>
      <c r="L69" s="2398"/>
      <c r="M69" s="2397"/>
      <c r="N69" s="2397"/>
      <c r="O69" s="2398"/>
      <c r="P69" s="2397"/>
      <c r="Q69" s="2397"/>
      <c r="R69" s="2399"/>
    </row>
    <row r="70" spans="2:18" s="2371" customFormat="1">
      <c r="B70" s="2397"/>
      <c r="C70" s="2397"/>
      <c r="D70" s="2397"/>
      <c r="E70" s="2397"/>
      <c r="F70" s="2397"/>
      <c r="G70" s="2398"/>
      <c r="H70" s="2397"/>
      <c r="I70" s="2398"/>
      <c r="J70" s="2397"/>
      <c r="K70" s="2397"/>
      <c r="L70" s="2398"/>
      <c r="M70" s="2397"/>
      <c r="N70" s="2397"/>
      <c r="O70" s="2398"/>
      <c r="P70" s="2397"/>
      <c r="Q70" s="2397"/>
      <c r="R70" s="2399"/>
    </row>
    <row r="71" spans="2:18" s="2371" customFormat="1">
      <c r="B71" s="2397"/>
      <c r="C71" s="2397"/>
      <c r="D71" s="2397"/>
      <c r="E71" s="2397"/>
      <c r="F71" s="2397"/>
      <c r="G71" s="2398"/>
      <c r="H71" s="2397"/>
      <c r="I71" s="2398"/>
      <c r="J71" s="2397"/>
      <c r="K71" s="2397"/>
      <c r="L71" s="2398"/>
      <c r="M71" s="2397"/>
      <c r="N71" s="2397"/>
      <c r="O71" s="2398"/>
      <c r="P71" s="2397"/>
      <c r="Q71" s="2397"/>
      <c r="R71" s="2399"/>
    </row>
    <row r="72" spans="2:18" s="2371" customFormat="1">
      <c r="B72" s="2397"/>
      <c r="C72" s="2397"/>
      <c r="D72" s="2397"/>
      <c r="E72" s="2397"/>
      <c r="F72" s="2397"/>
      <c r="G72" s="2398"/>
      <c r="H72" s="2397"/>
      <c r="I72" s="2398"/>
      <c r="J72" s="2397"/>
      <c r="K72" s="2397"/>
      <c r="L72" s="2398"/>
      <c r="M72" s="2397"/>
      <c r="N72" s="2397"/>
      <c r="O72" s="2398"/>
      <c r="P72" s="2397"/>
      <c r="Q72" s="2397"/>
      <c r="R72" s="2399"/>
    </row>
    <row r="73" spans="2:18" s="2371" customFormat="1">
      <c r="B73" s="2397"/>
      <c r="C73" s="2397"/>
      <c r="D73" s="2397"/>
      <c r="E73" s="2397"/>
      <c r="F73" s="2397"/>
      <c r="G73" s="2398"/>
      <c r="H73" s="2397"/>
      <c r="I73" s="2398"/>
      <c r="J73" s="2397"/>
      <c r="K73" s="2397"/>
      <c r="L73" s="2398"/>
      <c r="M73" s="2397"/>
      <c r="N73" s="2397"/>
      <c r="O73" s="2398"/>
      <c r="P73" s="2397"/>
      <c r="Q73" s="2397"/>
      <c r="R73" s="2399"/>
    </row>
    <row r="74" spans="2:18" s="2371" customFormat="1">
      <c r="B74" s="2397"/>
      <c r="C74" s="2397"/>
      <c r="D74" s="2397"/>
      <c r="E74" s="2397"/>
      <c r="F74" s="2397"/>
      <c r="G74" s="2398"/>
      <c r="H74" s="2397"/>
      <c r="I74" s="2398"/>
      <c r="J74" s="2397"/>
      <c r="K74" s="2397"/>
      <c r="L74" s="2398"/>
      <c r="M74" s="2397"/>
      <c r="N74" s="2397"/>
      <c r="O74" s="2398"/>
      <c r="P74" s="2397"/>
      <c r="Q74" s="2397"/>
      <c r="R74" s="2399"/>
    </row>
    <row r="75" spans="2:18" s="2371" customFormat="1">
      <c r="B75" s="2397"/>
      <c r="C75" s="2397"/>
      <c r="D75" s="2397"/>
      <c r="E75" s="2397"/>
      <c r="F75" s="2397"/>
      <c r="G75" s="2398"/>
      <c r="H75" s="2397"/>
      <c r="I75" s="2398"/>
      <c r="J75" s="2397"/>
      <c r="K75" s="2397"/>
      <c r="L75" s="2398"/>
      <c r="M75" s="2397"/>
      <c r="N75" s="2397"/>
      <c r="O75" s="2398"/>
      <c r="P75" s="2397"/>
      <c r="Q75" s="2397"/>
      <c r="R75" s="2399"/>
    </row>
    <row r="76" spans="2:18" s="2371" customFormat="1">
      <c r="B76" s="2397"/>
      <c r="C76" s="2397"/>
      <c r="D76" s="2397"/>
      <c r="E76" s="2397"/>
      <c r="F76" s="2397"/>
      <c r="G76" s="2398"/>
      <c r="H76" s="2397"/>
      <c r="I76" s="2398"/>
      <c r="J76" s="2397"/>
      <c r="K76" s="2397"/>
      <c r="L76" s="2398"/>
      <c r="M76" s="2397"/>
      <c r="N76" s="2397"/>
      <c r="O76" s="2398"/>
      <c r="P76" s="2397"/>
      <c r="Q76" s="2397"/>
      <c r="R76" s="2399"/>
    </row>
    <row r="77" spans="2:18" s="2371" customFormat="1">
      <c r="B77" s="2397"/>
      <c r="C77" s="2397"/>
      <c r="D77" s="2397"/>
      <c r="E77" s="2397"/>
      <c r="F77" s="2397"/>
      <c r="G77" s="2398"/>
      <c r="H77" s="2397"/>
      <c r="I77" s="2398"/>
      <c r="J77" s="2397"/>
      <c r="K77" s="2397"/>
      <c r="L77" s="2398"/>
      <c r="M77" s="2397"/>
      <c r="N77" s="2397"/>
      <c r="O77" s="2398"/>
      <c r="P77" s="2397"/>
      <c r="Q77" s="2397"/>
      <c r="R77" s="2399"/>
    </row>
    <row r="78" spans="2:18" s="2371" customFormat="1">
      <c r="B78" s="2397"/>
      <c r="C78" s="2397"/>
      <c r="D78" s="2397"/>
      <c r="E78" s="2397"/>
      <c r="F78" s="2397"/>
      <c r="G78" s="2398"/>
      <c r="H78" s="2397"/>
      <c r="I78" s="2398"/>
      <c r="J78" s="2397"/>
      <c r="K78" s="2397"/>
      <c r="L78" s="2398"/>
      <c r="M78" s="2397"/>
      <c r="N78" s="2397"/>
      <c r="O78" s="2398"/>
      <c r="P78" s="2397"/>
      <c r="Q78" s="2397"/>
      <c r="R78" s="2399"/>
    </row>
    <row r="79" spans="2:18" s="2371" customFormat="1">
      <c r="B79" s="2397"/>
      <c r="C79" s="2397"/>
      <c r="D79" s="2397"/>
      <c r="E79" s="2397"/>
      <c r="F79" s="2397"/>
      <c r="G79" s="2398"/>
      <c r="H79" s="2397"/>
      <c r="I79" s="2398"/>
      <c r="J79" s="2397"/>
      <c r="K79" s="2397"/>
      <c r="L79" s="2398"/>
      <c r="M79" s="2397"/>
      <c r="N79" s="2397"/>
      <c r="O79" s="2398"/>
      <c r="P79" s="2397"/>
      <c r="Q79" s="2397"/>
      <c r="R79" s="2399"/>
    </row>
    <row r="80" spans="2:18" s="2371" customFormat="1">
      <c r="B80" s="2397"/>
      <c r="C80" s="2397"/>
      <c r="D80" s="2397"/>
      <c r="E80" s="2397"/>
      <c r="F80" s="2397"/>
      <c r="G80" s="2398"/>
      <c r="H80" s="2397"/>
      <c r="I80" s="2398"/>
      <c r="J80" s="2397"/>
      <c r="K80" s="2397"/>
      <c r="L80" s="2398"/>
      <c r="M80" s="2397"/>
      <c r="N80" s="2397"/>
      <c r="O80" s="2398"/>
      <c r="P80" s="2397"/>
      <c r="Q80" s="2397"/>
      <c r="R80" s="2399"/>
    </row>
    <row r="81" spans="2:18" s="2371" customFormat="1">
      <c r="B81" s="2397"/>
      <c r="C81" s="2397"/>
      <c r="D81" s="2397"/>
      <c r="E81" s="2397"/>
      <c r="F81" s="2397"/>
      <c r="G81" s="2398"/>
      <c r="H81" s="2397"/>
      <c r="I81" s="2398"/>
      <c r="J81" s="2397"/>
      <c r="K81" s="2397"/>
      <c r="L81" s="2398"/>
      <c r="M81" s="2397"/>
      <c r="N81" s="2397"/>
      <c r="O81" s="2398"/>
      <c r="P81" s="2397"/>
      <c r="Q81" s="2397"/>
      <c r="R81" s="2399"/>
    </row>
    <row r="82" spans="2:18" s="2371" customFormat="1">
      <c r="B82" s="2397"/>
      <c r="C82" s="2397"/>
      <c r="D82" s="2397"/>
      <c r="E82" s="2397"/>
      <c r="F82" s="2397"/>
      <c r="G82" s="2398"/>
      <c r="H82" s="2397"/>
      <c r="I82" s="2398"/>
      <c r="J82" s="2397"/>
      <c r="K82" s="2397"/>
      <c r="L82" s="2398"/>
      <c r="M82" s="2397"/>
      <c r="N82" s="2397"/>
      <c r="O82" s="2398"/>
      <c r="P82" s="2397"/>
      <c r="Q82" s="2397"/>
      <c r="R82" s="2399"/>
    </row>
    <row r="83" spans="2:18" s="2371" customFormat="1">
      <c r="B83" s="2397"/>
      <c r="C83" s="2397"/>
      <c r="D83" s="2397"/>
      <c r="E83" s="2397"/>
      <c r="F83" s="2397"/>
      <c r="G83" s="2398"/>
      <c r="H83" s="2397"/>
      <c r="I83" s="2398"/>
      <c r="J83" s="2397"/>
      <c r="K83" s="2397"/>
      <c r="L83" s="2398"/>
      <c r="M83" s="2397"/>
      <c r="N83" s="2397"/>
      <c r="O83" s="2398"/>
      <c r="P83" s="2397"/>
      <c r="Q83" s="2397"/>
      <c r="R83" s="2399"/>
    </row>
    <row r="84" spans="2:18" s="2371" customFormat="1">
      <c r="B84" s="2397"/>
      <c r="C84" s="2397"/>
      <c r="D84" s="2397"/>
      <c r="E84" s="2397"/>
      <c r="F84" s="2397"/>
      <c r="G84" s="2398"/>
      <c r="H84" s="2397"/>
      <c r="I84" s="2398"/>
      <c r="J84" s="2397"/>
      <c r="K84" s="2397"/>
      <c r="L84" s="2398"/>
      <c r="M84" s="2397"/>
      <c r="N84" s="2397"/>
      <c r="O84" s="2398"/>
      <c r="P84" s="2397"/>
      <c r="Q84" s="2397"/>
      <c r="R84" s="2399"/>
    </row>
    <row r="85" spans="2:18" s="2371" customFormat="1">
      <c r="B85" s="2397"/>
      <c r="C85" s="2397"/>
      <c r="D85" s="2397"/>
      <c r="E85" s="2397"/>
      <c r="F85" s="2397"/>
      <c r="G85" s="2398"/>
      <c r="H85" s="2397"/>
      <c r="I85" s="2398"/>
      <c r="J85" s="2397"/>
      <c r="K85" s="2397"/>
      <c r="L85" s="2398"/>
      <c r="M85" s="2397"/>
      <c r="N85" s="2397"/>
      <c r="O85" s="2398"/>
      <c r="P85" s="2397"/>
      <c r="Q85" s="2397"/>
      <c r="R85" s="2399"/>
    </row>
    <row r="86" spans="2:18" s="2371" customFormat="1">
      <c r="B86" s="2397"/>
      <c r="C86" s="2397"/>
      <c r="D86" s="2397"/>
      <c r="E86" s="2397"/>
      <c r="F86" s="2397"/>
      <c r="G86" s="2398"/>
      <c r="H86" s="2397"/>
      <c r="I86" s="2398"/>
      <c r="J86" s="2397"/>
      <c r="K86" s="2397"/>
      <c r="L86" s="2398"/>
      <c r="M86" s="2397"/>
      <c r="N86" s="2397"/>
      <c r="O86" s="2398"/>
      <c r="P86" s="2397"/>
      <c r="Q86" s="2397"/>
      <c r="R86" s="2399"/>
    </row>
    <row r="87" spans="2:18" s="2371" customFormat="1">
      <c r="B87" s="2397"/>
      <c r="C87" s="2397"/>
      <c r="D87" s="2397"/>
      <c r="E87" s="2397"/>
      <c r="F87" s="2397"/>
      <c r="G87" s="2398"/>
      <c r="H87" s="2397"/>
      <c r="I87" s="2398"/>
      <c r="J87" s="2397"/>
      <c r="K87" s="2397"/>
      <c r="L87" s="2398"/>
      <c r="M87" s="2397"/>
      <c r="N87" s="2397"/>
      <c r="O87" s="2398"/>
      <c r="P87" s="2397"/>
      <c r="Q87" s="2397"/>
      <c r="R87" s="2399"/>
    </row>
    <row r="88" spans="2:18" s="2371" customFormat="1">
      <c r="B88" s="2397"/>
      <c r="C88" s="2397"/>
      <c r="D88" s="2397"/>
      <c r="E88" s="2397"/>
      <c r="F88" s="2397"/>
      <c r="G88" s="2398"/>
      <c r="H88" s="2397"/>
      <c r="I88" s="2398"/>
      <c r="J88" s="2397"/>
      <c r="K88" s="2397"/>
      <c r="L88" s="2398"/>
      <c r="M88" s="2397"/>
      <c r="N88" s="2397"/>
      <c r="O88" s="2398"/>
      <c r="P88" s="2397"/>
      <c r="Q88" s="2397"/>
      <c r="R88" s="2399"/>
    </row>
    <row r="89" spans="2:18" s="2371" customFormat="1">
      <c r="B89" s="2397"/>
      <c r="C89" s="2397"/>
      <c r="D89" s="2397"/>
      <c r="E89" s="2397"/>
      <c r="F89" s="2397"/>
      <c r="G89" s="2398"/>
      <c r="H89" s="2397"/>
      <c r="I89" s="2398"/>
      <c r="J89" s="2397"/>
      <c r="K89" s="2397"/>
      <c r="L89" s="2398"/>
      <c r="M89" s="2397"/>
      <c r="N89" s="2397"/>
      <c r="O89" s="2398"/>
      <c r="P89" s="2397"/>
      <c r="Q89" s="2397"/>
      <c r="R89" s="2399"/>
    </row>
    <row r="90" spans="2:18" s="2371" customFormat="1">
      <c r="B90" s="2397"/>
      <c r="C90" s="2397"/>
      <c r="D90" s="2397"/>
      <c r="E90" s="2397"/>
      <c r="F90" s="2397"/>
      <c r="G90" s="2398"/>
      <c r="H90" s="2397"/>
      <c r="I90" s="2398"/>
      <c r="J90" s="2397"/>
      <c r="K90" s="2397"/>
      <c r="L90" s="2398"/>
      <c r="M90" s="2397"/>
      <c r="N90" s="2397"/>
      <c r="O90" s="2398"/>
      <c r="P90" s="2397"/>
      <c r="Q90" s="2397"/>
      <c r="R90" s="2399"/>
    </row>
    <row r="91" spans="2:18" s="2371" customFormat="1">
      <c r="B91" s="2397"/>
      <c r="C91" s="2397"/>
      <c r="D91" s="2397"/>
      <c r="E91" s="2397"/>
      <c r="F91" s="2397"/>
      <c r="G91" s="2398"/>
      <c r="H91" s="2397"/>
      <c r="I91" s="2398"/>
      <c r="J91" s="2397"/>
      <c r="K91" s="2397"/>
      <c r="L91" s="2398"/>
      <c r="M91" s="2397"/>
      <c r="N91" s="2397"/>
      <c r="O91" s="2398"/>
      <c r="P91" s="2397"/>
      <c r="Q91" s="2397"/>
      <c r="R91" s="2399"/>
    </row>
    <row r="92" spans="2:18" s="2371" customFormat="1">
      <c r="B92" s="2397"/>
      <c r="C92" s="2397"/>
      <c r="D92" s="2397"/>
      <c r="E92" s="2397"/>
      <c r="F92" s="2397"/>
      <c r="G92" s="2398"/>
      <c r="H92" s="2397"/>
      <c r="I92" s="2398"/>
      <c r="J92" s="2397"/>
      <c r="K92" s="2397"/>
      <c r="L92" s="2398"/>
      <c r="M92" s="2397"/>
      <c r="N92" s="2397"/>
      <c r="O92" s="2398"/>
      <c r="P92" s="2397"/>
      <c r="Q92" s="2397"/>
      <c r="R92" s="2399"/>
    </row>
    <row r="93" spans="2:18" s="2371" customFormat="1">
      <c r="B93" s="2397"/>
      <c r="C93" s="2397"/>
      <c r="D93" s="2397"/>
      <c r="E93" s="2397"/>
      <c r="F93" s="2397"/>
      <c r="G93" s="2398"/>
      <c r="H93" s="2397"/>
      <c r="I93" s="2398"/>
      <c r="J93" s="2397"/>
      <c r="K93" s="2397"/>
      <c r="L93" s="2398"/>
      <c r="M93" s="2397"/>
      <c r="N93" s="2397"/>
      <c r="O93" s="2398"/>
      <c r="P93" s="2397"/>
      <c r="Q93" s="2397"/>
      <c r="R93" s="2399"/>
    </row>
    <row r="94" spans="2:18" s="2371" customFormat="1">
      <c r="B94" s="2397"/>
      <c r="C94" s="2397"/>
      <c r="D94" s="2397"/>
      <c r="E94" s="2397"/>
      <c r="F94" s="2397"/>
      <c r="G94" s="2398"/>
      <c r="H94" s="2397"/>
      <c r="I94" s="2398"/>
      <c r="J94" s="2397"/>
      <c r="K94" s="2397"/>
      <c r="L94" s="2398"/>
      <c r="M94" s="2397"/>
      <c r="N94" s="2397"/>
      <c r="O94" s="2398"/>
      <c r="P94" s="2397"/>
      <c r="Q94" s="2397"/>
      <c r="R94" s="2399"/>
    </row>
    <row r="95" spans="2:18" s="2371" customFormat="1">
      <c r="B95" s="2397"/>
      <c r="C95" s="2397"/>
      <c r="D95" s="2397"/>
      <c r="E95" s="2397"/>
      <c r="F95" s="2397"/>
      <c r="G95" s="2398"/>
      <c r="H95" s="2397"/>
      <c r="I95" s="2398"/>
      <c r="J95" s="2397"/>
      <c r="K95" s="2397"/>
      <c r="L95" s="2398"/>
      <c r="M95" s="2397"/>
      <c r="N95" s="2397"/>
      <c r="O95" s="2398"/>
      <c r="P95" s="2397"/>
      <c r="Q95" s="2397"/>
      <c r="R95" s="2399"/>
    </row>
    <row r="96" spans="2:18" s="2371" customFormat="1">
      <c r="B96" s="2397"/>
      <c r="C96" s="2397"/>
      <c r="D96" s="2397"/>
      <c r="E96" s="2397"/>
      <c r="F96" s="2397"/>
      <c r="G96" s="2398"/>
      <c r="H96" s="2397"/>
      <c r="I96" s="2398"/>
      <c r="J96" s="2397"/>
      <c r="K96" s="2397"/>
      <c r="L96" s="2398"/>
      <c r="M96" s="2397"/>
      <c r="N96" s="2397"/>
      <c r="O96" s="2398"/>
      <c r="P96" s="2397"/>
      <c r="Q96" s="2397"/>
      <c r="R96" s="2399"/>
    </row>
    <row r="97" spans="2:18" s="2371" customFormat="1">
      <c r="B97" s="2397"/>
      <c r="C97" s="2397"/>
      <c r="D97" s="2397"/>
      <c r="E97" s="2397"/>
      <c r="F97" s="2397"/>
      <c r="G97" s="2398"/>
      <c r="H97" s="2397"/>
      <c r="I97" s="2398"/>
      <c r="J97" s="2397"/>
      <c r="K97" s="2397"/>
      <c r="L97" s="2398"/>
      <c r="M97" s="2397"/>
      <c r="N97" s="2397"/>
      <c r="O97" s="2398"/>
      <c r="P97" s="2397"/>
      <c r="Q97" s="2397"/>
      <c r="R97" s="2399"/>
    </row>
    <row r="98" spans="2:18" s="2371" customFormat="1">
      <c r="B98" s="2397"/>
      <c r="C98" s="2397"/>
      <c r="D98" s="2397"/>
      <c r="E98" s="2397"/>
      <c r="F98" s="2397"/>
      <c r="G98" s="2398"/>
      <c r="H98" s="2397"/>
      <c r="I98" s="2398"/>
      <c r="J98" s="2397"/>
      <c r="K98" s="2397"/>
      <c r="L98" s="2398"/>
      <c r="M98" s="2397"/>
      <c r="N98" s="2397"/>
      <c r="O98" s="2398"/>
      <c r="P98" s="2397"/>
      <c r="Q98" s="2397"/>
      <c r="R98" s="2399"/>
    </row>
    <row r="99" spans="2:18" s="2371" customFormat="1">
      <c r="B99" s="2397"/>
      <c r="C99" s="2397"/>
      <c r="D99" s="2397"/>
      <c r="E99" s="2397"/>
      <c r="F99" s="2397"/>
      <c r="G99" s="2398"/>
      <c r="H99" s="2397"/>
      <c r="I99" s="2398"/>
      <c r="J99" s="2397"/>
      <c r="K99" s="2397"/>
      <c r="L99" s="2398"/>
      <c r="M99" s="2397"/>
      <c r="N99" s="2397"/>
      <c r="O99" s="2398"/>
      <c r="P99" s="2397"/>
      <c r="Q99" s="2397"/>
      <c r="R99" s="2399"/>
    </row>
    <row r="100" spans="2:18" s="2371" customFormat="1">
      <c r="B100" s="2397"/>
      <c r="C100" s="2397"/>
      <c r="D100" s="2397"/>
      <c r="E100" s="2397"/>
      <c r="F100" s="2397"/>
      <c r="G100" s="2398"/>
      <c r="H100" s="2397"/>
      <c r="I100" s="2398"/>
      <c r="J100" s="2397"/>
      <c r="K100" s="2397"/>
      <c r="L100" s="2398"/>
      <c r="M100" s="2397"/>
      <c r="N100" s="2397"/>
      <c r="O100" s="2398"/>
      <c r="P100" s="2397"/>
      <c r="Q100" s="2397"/>
      <c r="R100" s="2399"/>
    </row>
    <row r="101" spans="2:18" s="2371" customFormat="1">
      <c r="B101" s="2397"/>
      <c r="C101" s="2397"/>
      <c r="D101" s="2397"/>
      <c r="E101" s="2397"/>
      <c r="F101" s="2397"/>
      <c r="G101" s="2398"/>
      <c r="H101" s="2397"/>
      <c r="I101" s="2398"/>
      <c r="J101" s="2397"/>
      <c r="K101" s="2397"/>
      <c r="L101" s="2398"/>
      <c r="M101" s="2397"/>
      <c r="N101" s="2397"/>
      <c r="O101" s="2398"/>
      <c r="P101" s="2397"/>
      <c r="Q101" s="2397"/>
      <c r="R101" s="2399"/>
    </row>
    <row r="102" spans="2:18" s="2371" customFormat="1">
      <c r="B102" s="2397"/>
      <c r="C102" s="2397"/>
      <c r="D102" s="2397"/>
      <c r="E102" s="2397"/>
      <c r="F102" s="2397"/>
      <c r="G102" s="2398"/>
      <c r="H102" s="2397"/>
      <c r="I102" s="2398"/>
      <c r="J102" s="2397"/>
      <c r="K102" s="2397"/>
      <c r="L102" s="2398"/>
      <c r="M102" s="2397"/>
      <c r="N102" s="2397"/>
      <c r="O102" s="2398"/>
      <c r="P102" s="2397"/>
      <c r="Q102" s="2397"/>
      <c r="R102" s="2399"/>
    </row>
    <row r="103" spans="2:18" s="2371" customFormat="1">
      <c r="B103" s="2397"/>
      <c r="C103" s="2397"/>
      <c r="D103" s="2397"/>
      <c r="E103" s="2397"/>
      <c r="F103" s="2397"/>
      <c r="G103" s="2398"/>
      <c r="H103" s="2397"/>
      <c r="I103" s="2398"/>
      <c r="J103" s="2397"/>
      <c r="K103" s="2397"/>
      <c r="L103" s="2398"/>
      <c r="M103" s="2397"/>
      <c r="N103" s="2397"/>
      <c r="O103" s="2398"/>
      <c r="P103" s="2397"/>
      <c r="Q103" s="2397"/>
      <c r="R103" s="2399"/>
    </row>
    <row r="104" spans="2:18" s="2371" customFormat="1">
      <c r="B104" s="2397"/>
      <c r="C104" s="2397"/>
      <c r="D104" s="2397"/>
      <c r="E104" s="2397"/>
      <c r="F104" s="2397"/>
      <c r="G104" s="2398"/>
      <c r="H104" s="2397"/>
      <c r="I104" s="2398"/>
      <c r="J104" s="2397"/>
      <c r="K104" s="2397"/>
      <c r="L104" s="2398"/>
      <c r="M104" s="2397"/>
      <c r="N104" s="2397"/>
      <c r="O104" s="2398"/>
      <c r="P104" s="2397"/>
      <c r="Q104" s="2397"/>
      <c r="R104" s="2399"/>
    </row>
    <row r="105" spans="2:18" s="2371" customFormat="1">
      <c r="B105" s="2397"/>
      <c r="C105" s="2397"/>
      <c r="D105" s="2397"/>
      <c r="E105" s="2397"/>
      <c r="F105" s="2397"/>
      <c r="G105" s="2398"/>
      <c r="H105" s="2397"/>
      <c r="I105" s="2398"/>
      <c r="J105" s="2397"/>
      <c r="K105" s="2397"/>
      <c r="L105" s="2398"/>
      <c r="M105" s="2397"/>
      <c r="N105" s="2397"/>
      <c r="O105" s="2398"/>
      <c r="P105" s="2397"/>
      <c r="Q105" s="2397"/>
      <c r="R105" s="2399"/>
    </row>
    <row r="106" spans="2:18" s="2371" customFormat="1">
      <c r="B106" s="2397"/>
      <c r="C106" s="2397"/>
      <c r="D106" s="2397"/>
      <c r="E106" s="2397"/>
      <c r="F106" s="2397"/>
      <c r="G106" s="2398"/>
      <c r="H106" s="2397"/>
      <c r="I106" s="2398"/>
      <c r="J106" s="2397"/>
      <c r="K106" s="2397"/>
      <c r="L106" s="2398"/>
      <c r="M106" s="2397"/>
      <c r="N106" s="2397"/>
      <c r="O106" s="2398"/>
      <c r="P106" s="2397"/>
      <c r="Q106" s="2397"/>
      <c r="R106" s="2399"/>
    </row>
    <row r="107" spans="2:18" s="2371" customFormat="1">
      <c r="B107" s="2397"/>
      <c r="C107" s="2397"/>
      <c r="D107" s="2397"/>
      <c r="E107" s="2397"/>
      <c r="F107" s="2397"/>
      <c r="G107" s="2398"/>
      <c r="H107" s="2397"/>
      <c r="I107" s="2398"/>
      <c r="J107" s="2397"/>
      <c r="K107" s="2397"/>
      <c r="L107" s="2398"/>
      <c r="M107" s="2397"/>
      <c r="N107" s="2397"/>
      <c r="O107" s="2398"/>
      <c r="P107" s="2397"/>
      <c r="Q107" s="2397"/>
      <c r="R107" s="2399"/>
    </row>
    <row r="108" spans="2:18" s="2371" customFormat="1">
      <c r="B108" s="2397"/>
      <c r="C108" s="2397"/>
      <c r="D108" s="2397"/>
      <c r="E108" s="2397"/>
      <c r="F108" s="2397"/>
      <c r="G108" s="2398"/>
      <c r="H108" s="2397"/>
      <c r="I108" s="2398"/>
      <c r="J108" s="2397"/>
      <c r="K108" s="2397"/>
      <c r="L108" s="2398"/>
      <c r="M108" s="2397"/>
      <c r="N108" s="2397"/>
      <c r="O108" s="2398"/>
      <c r="P108" s="2397"/>
      <c r="Q108" s="2397"/>
      <c r="R108" s="2399"/>
    </row>
    <row r="109" spans="2:18" s="2371" customFormat="1">
      <c r="B109" s="2397"/>
      <c r="C109" s="2397"/>
      <c r="D109" s="2397"/>
      <c r="E109" s="2397"/>
      <c r="F109" s="2397"/>
      <c r="G109" s="2398"/>
      <c r="H109" s="2397"/>
      <c r="I109" s="2398"/>
      <c r="J109" s="2397"/>
      <c r="K109" s="2397"/>
      <c r="L109" s="2398"/>
      <c r="M109" s="2397"/>
      <c r="N109" s="2397"/>
      <c r="O109" s="2398"/>
      <c r="P109" s="2397"/>
      <c r="Q109" s="2397"/>
      <c r="R109" s="2399"/>
    </row>
    <row r="110" spans="2:18" s="2371" customFormat="1">
      <c r="B110" s="2397"/>
      <c r="C110" s="2397"/>
      <c r="D110" s="2397"/>
      <c r="E110" s="2397"/>
      <c r="F110" s="2397"/>
      <c r="G110" s="2398"/>
      <c r="H110" s="2397"/>
      <c r="I110" s="2398"/>
      <c r="J110" s="2397"/>
      <c r="K110" s="2397"/>
      <c r="L110" s="2398"/>
      <c r="M110" s="2397"/>
      <c r="N110" s="2397"/>
      <c r="O110" s="2398"/>
      <c r="P110" s="2397"/>
      <c r="Q110" s="2397"/>
      <c r="R110" s="2399"/>
    </row>
    <row r="111" spans="2:18" s="2371" customFormat="1">
      <c r="B111" s="2397"/>
      <c r="C111" s="2397"/>
      <c r="D111" s="2397"/>
      <c r="E111" s="2397"/>
      <c r="F111" s="2397"/>
      <c r="G111" s="2398"/>
      <c r="H111" s="2397"/>
      <c r="I111" s="2398"/>
      <c r="J111" s="2397"/>
      <c r="K111" s="2397"/>
      <c r="L111" s="2398"/>
      <c r="M111" s="2397"/>
      <c r="N111" s="2397"/>
      <c r="O111" s="2398"/>
      <c r="P111" s="2397"/>
      <c r="Q111" s="2397"/>
      <c r="R111" s="2399"/>
    </row>
    <row r="112" spans="2:18" s="2371" customFormat="1">
      <c r="B112" s="2397"/>
      <c r="C112" s="2397"/>
      <c r="D112" s="2397"/>
      <c r="E112" s="2397"/>
      <c r="F112" s="2397"/>
      <c r="G112" s="2398"/>
      <c r="H112" s="2397"/>
      <c r="I112" s="2398"/>
      <c r="J112" s="2397"/>
      <c r="K112" s="2397"/>
      <c r="L112" s="2398"/>
      <c r="M112" s="2397"/>
      <c r="N112" s="2397"/>
      <c r="O112" s="2398"/>
      <c r="P112" s="2397"/>
      <c r="Q112" s="2397"/>
      <c r="R112" s="2399"/>
    </row>
    <row r="113" spans="2:18" s="2371" customFormat="1">
      <c r="B113" s="2397"/>
      <c r="C113" s="2397"/>
      <c r="D113" s="2397"/>
      <c r="E113" s="2397"/>
      <c r="F113" s="2397"/>
      <c r="G113" s="2398"/>
      <c r="H113" s="2397"/>
      <c r="I113" s="2398"/>
      <c r="J113" s="2397"/>
      <c r="K113" s="2397"/>
      <c r="L113" s="2398"/>
      <c r="M113" s="2397"/>
      <c r="N113" s="2397"/>
      <c r="O113" s="2398"/>
      <c r="P113" s="2397"/>
      <c r="Q113" s="2397"/>
      <c r="R113" s="2399"/>
    </row>
    <row r="114" spans="2:18" s="2371" customFormat="1">
      <c r="B114" s="2397"/>
      <c r="C114" s="2397"/>
      <c r="D114" s="2397"/>
      <c r="E114" s="2397"/>
      <c r="F114" s="2397"/>
      <c r="G114" s="2398"/>
      <c r="H114" s="2397"/>
      <c r="I114" s="2398"/>
      <c r="J114" s="2397"/>
      <c r="K114" s="2397"/>
      <c r="L114" s="2398"/>
      <c r="M114" s="2397"/>
      <c r="N114" s="2397"/>
      <c r="O114" s="2398"/>
      <c r="P114" s="2397"/>
      <c r="Q114" s="2397"/>
      <c r="R114" s="2399"/>
    </row>
    <row r="115" spans="2:18" s="2371" customFormat="1">
      <c r="B115" s="2397"/>
      <c r="C115" s="2397"/>
      <c r="D115" s="2397"/>
      <c r="E115" s="2397"/>
      <c r="F115" s="2397"/>
      <c r="G115" s="2398"/>
      <c r="H115" s="2397"/>
      <c r="I115" s="2398"/>
      <c r="J115" s="2397"/>
      <c r="K115" s="2397"/>
      <c r="L115" s="2398"/>
      <c r="M115" s="2397"/>
      <c r="N115" s="2397"/>
      <c r="O115" s="2398"/>
      <c r="P115" s="2397"/>
      <c r="Q115" s="2397"/>
      <c r="R115" s="2399"/>
    </row>
    <row r="116" spans="2:18" s="2371" customFormat="1">
      <c r="B116" s="2397"/>
      <c r="C116" s="2397"/>
      <c r="D116" s="2397"/>
      <c r="E116" s="2397"/>
      <c r="F116" s="2397"/>
      <c r="G116" s="2398"/>
      <c r="H116" s="2397"/>
      <c r="I116" s="2398"/>
      <c r="J116" s="2397"/>
      <c r="K116" s="2397"/>
      <c r="L116" s="2398"/>
      <c r="M116" s="2397"/>
      <c r="N116" s="2397"/>
      <c r="O116" s="2398"/>
      <c r="P116" s="2397"/>
      <c r="Q116" s="2397"/>
      <c r="R116" s="2399"/>
    </row>
    <row r="117" spans="2:18" s="2371" customFormat="1">
      <c r="B117" s="2397"/>
      <c r="C117" s="2397"/>
      <c r="D117" s="2397"/>
      <c r="E117" s="2397"/>
      <c r="F117" s="2397"/>
      <c r="G117" s="2398"/>
      <c r="H117" s="2397"/>
      <c r="I117" s="2398"/>
      <c r="J117" s="2397"/>
      <c r="K117" s="2397"/>
      <c r="L117" s="2398"/>
      <c r="M117" s="2397"/>
      <c r="N117" s="2397"/>
      <c r="O117" s="2398"/>
      <c r="P117" s="2397"/>
      <c r="Q117" s="2397"/>
      <c r="R117" s="2399"/>
    </row>
    <row r="118" spans="2:18" s="2371" customFormat="1">
      <c r="B118" s="2397"/>
      <c r="C118" s="2397"/>
      <c r="D118" s="2397"/>
      <c r="E118" s="2397"/>
      <c r="F118" s="2397"/>
      <c r="G118" s="2398"/>
      <c r="H118" s="2397"/>
      <c r="I118" s="2398"/>
      <c r="J118" s="2397"/>
      <c r="K118" s="2397"/>
      <c r="L118" s="2398"/>
      <c r="M118" s="2397"/>
      <c r="N118" s="2397"/>
      <c r="O118" s="2398"/>
      <c r="P118" s="2397"/>
      <c r="Q118" s="2397"/>
      <c r="R118" s="2399"/>
    </row>
    <row r="119" spans="2:18" s="2371" customFormat="1">
      <c r="B119" s="2397"/>
      <c r="C119" s="2397"/>
      <c r="D119" s="2397"/>
      <c r="E119" s="2397"/>
      <c r="F119" s="2397"/>
      <c r="G119" s="2398"/>
      <c r="H119" s="2397"/>
      <c r="I119" s="2398"/>
      <c r="J119" s="2397"/>
      <c r="K119" s="2397"/>
      <c r="L119" s="2398"/>
      <c r="M119" s="2397"/>
      <c r="N119" s="2397"/>
      <c r="O119" s="2398"/>
      <c r="P119" s="2397"/>
      <c r="Q119" s="2397"/>
      <c r="R119" s="2399"/>
    </row>
    <row r="120" spans="2:18" s="2371" customFormat="1">
      <c r="B120" s="2397"/>
      <c r="C120" s="2397"/>
      <c r="D120" s="2397"/>
      <c r="E120" s="2397"/>
      <c r="F120" s="2397"/>
      <c r="G120" s="2398"/>
      <c r="H120" s="2397"/>
      <c r="I120" s="2398"/>
      <c r="J120" s="2397"/>
      <c r="K120" s="2397"/>
      <c r="L120" s="2398"/>
      <c r="M120" s="2397"/>
      <c r="N120" s="2397"/>
      <c r="O120" s="2398"/>
      <c r="P120" s="2397"/>
      <c r="Q120" s="2397"/>
      <c r="R120" s="2399"/>
    </row>
    <row r="121" spans="2:18" s="2371" customFormat="1">
      <c r="B121" s="2397"/>
      <c r="C121" s="2397"/>
      <c r="D121" s="2397"/>
      <c r="E121" s="2397"/>
      <c r="F121" s="2397"/>
      <c r="G121" s="2398"/>
      <c r="H121" s="2397"/>
      <c r="I121" s="2398"/>
      <c r="J121" s="2397"/>
      <c r="K121" s="2397"/>
      <c r="L121" s="2398"/>
      <c r="M121" s="2397"/>
      <c r="N121" s="2397"/>
      <c r="O121" s="2398"/>
      <c r="P121" s="2397"/>
      <c r="Q121" s="2397"/>
      <c r="R121" s="2399"/>
    </row>
    <row r="122" spans="2:18" s="2371" customFormat="1">
      <c r="B122" s="2397"/>
      <c r="C122" s="2397"/>
      <c r="D122" s="2397"/>
      <c r="E122" s="2397"/>
      <c r="F122" s="2397"/>
      <c r="G122" s="2398"/>
      <c r="H122" s="2397"/>
      <c r="I122" s="2398"/>
      <c r="J122" s="2397"/>
      <c r="K122" s="2397"/>
      <c r="L122" s="2398"/>
      <c r="M122" s="2397"/>
      <c r="N122" s="2397"/>
      <c r="O122" s="2398"/>
      <c r="P122" s="2397"/>
      <c r="Q122" s="2397"/>
      <c r="R122" s="2399"/>
    </row>
    <row r="123" spans="2:18" s="2371" customFormat="1">
      <c r="B123" s="2397"/>
      <c r="C123" s="2397"/>
      <c r="D123" s="2397"/>
      <c r="E123" s="2397"/>
      <c r="F123" s="2397"/>
      <c r="G123" s="2398"/>
      <c r="H123" s="2397"/>
      <c r="I123" s="2398"/>
      <c r="J123" s="2397"/>
      <c r="K123" s="2397"/>
      <c r="L123" s="2398"/>
      <c r="M123" s="2397"/>
      <c r="N123" s="2397"/>
      <c r="O123" s="2398"/>
      <c r="P123" s="2397"/>
      <c r="Q123" s="2397"/>
      <c r="R123" s="2399"/>
    </row>
    <row r="124" spans="2:18" s="2371" customFormat="1">
      <c r="B124" s="2397"/>
      <c r="C124" s="2397"/>
      <c r="D124" s="2397"/>
      <c r="E124" s="2397"/>
      <c r="F124" s="2397"/>
      <c r="G124" s="2398"/>
      <c r="H124" s="2397"/>
      <c r="I124" s="2398"/>
      <c r="J124" s="2397"/>
      <c r="K124" s="2397"/>
      <c r="L124" s="2398"/>
      <c r="M124" s="2397"/>
      <c r="N124" s="2397"/>
      <c r="O124" s="2398"/>
      <c r="P124" s="2397"/>
      <c r="Q124" s="2397"/>
      <c r="R124" s="2399"/>
    </row>
    <row r="125" spans="2:18" s="2371" customFormat="1">
      <c r="B125" s="2397"/>
      <c r="C125" s="2397"/>
      <c r="D125" s="2397"/>
      <c r="E125" s="2397"/>
      <c r="F125" s="2397"/>
      <c r="G125" s="2398"/>
      <c r="H125" s="2397"/>
      <c r="I125" s="2398"/>
      <c r="J125" s="2397"/>
      <c r="K125" s="2397"/>
      <c r="L125" s="2398"/>
      <c r="M125" s="2397"/>
      <c r="N125" s="2397"/>
      <c r="O125" s="2398"/>
      <c r="P125" s="2397"/>
      <c r="Q125" s="2397"/>
      <c r="R125" s="2399"/>
    </row>
    <row r="126" spans="2:18" s="2371" customFormat="1">
      <c r="B126" s="2397"/>
      <c r="C126" s="2397"/>
      <c r="D126" s="2397"/>
      <c r="E126" s="2397"/>
      <c r="F126" s="2397"/>
      <c r="G126" s="2398"/>
      <c r="H126" s="2397"/>
      <c r="I126" s="2398"/>
      <c r="J126" s="2397"/>
      <c r="K126" s="2397"/>
      <c r="L126" s="2398"/>
      <c r="M126" s="2397"/>
      <c r="N126" s="2397"/>
      <c r="O126" s="2398"/>
      <c r="P126" s="2397"/>
      <c r="Q126" s="2397"/>
      <c r="R126" s="2399"/>
    </row>
    <row r="127" spans="2:18" s="2371" customFormat="1">
      <c r="B127" s="2397"/>
      <c r="C127" s="2397"/>
      <c r="D127" s="2397"/>
      <c r="E127" s="2397"/>
      <c r="F127" s="2397"/>
      <c r="G127" s="2398"/>
      <c r="H127" s="2397"/>
      <c r="I127" s="2398"/>
      <c r="J127" s="2397"/>
      <c r="K127" s="2397"/>
      <c r="L127" s="2398"/>
      <c r="M127" s="2397"/>
      <c r="N127" s="2397"/>
      <c r="O127" s="2398"/>
      <c r="P127" s="2397"/>
      <c r="Q127" s="2397"/>
      <c r="R127" s="2399"/>
    </row>
    <row r="128" spans="2:18" s="2371" customFormat="1">
      <c r="B128" s="2397"/>
      <c r="C128" s="2397"/>
      <c r="D128" s="2397"/>
      <c r="E128" s="2397"/>
      <c r="F128" s="2397"/>
      <c r="G128" s="2398"/>
      <c r="H128" s="2397"/>
      <c r="I128" s="2398"/>
      <c r="J128" s="2397"/>
      <c r="K128" s="2397"/>
      <c r="L128" s="2398"/>
      <c r="M128" s="2397"/>
      <c r="N128" s="2397"/>
      <c r="O128" s="2398"/>
      <c r="P128" s="2397"/>
      <c r="Q128" s="2397"/>
      <c r="R128" s="2399"/>
    </row>
    <row r="129" spans="2:18" s="2371" customFormat="1">
      <c r="B129" s="2397"/>
      <c r="C129" s="2397"/>
      <c r="D129" s="2397"/>
      <c r="E129" s="2397"/>
      <c r="F129" s="2397"/>
      <c r="G129" s="2398"/>
      <c r="H129" s="2397"/>
      <c r="I129" s="2398"/>
      <c r="J129" s="2397"/>
      <c r="K129" s="2397"/>
      <c r="L129" s="2398"/>
      <c r="M129" s="2397"/>
      <c r="N129" s="2397"/>
      <c r="O129" s="2398"/>
      <c r="P129" s="2397"/>
      <c r="Q129" s="2397"/>
      <c r="R129" s="2399"/>
    </row>
    <row r="130" spans="2:18" s="2371" customFormat="1">
      <c r="B130" s="2397"/>
      <c r="C130" s="2397"/>
      <c r="D130" s="2397"/>
      <c r="E130" s="2397"/>
      <c r="F130" s="2397"/>
      <c r="G130" s="2398"/>
      <c r="H130" s="2397"/>
      <c r="I130" s="2398"/>
      <c r="J130" s="2397"/>
      <c r="K130" s="2397"/>
      <c r="L130" s="2398"/>
      <c r="M130" s="2397"/>
      <c r="N130" s="2397"/>
      <c r="O130" s="2398"/>
      <c r="P130" s="2397"/>
      <c r="Q130" s="2397"/>
      <c r="R130" s="2399"/>
    </row>
    <row r="131" spans="2:18" s="2371" customFormat="1">
      <c r="B131" s="2397"/>
      <c r="C131" s="2397"/>
      <c r="D131" s="2397"/>
      <c r="E131" s="2397"/>
      <c r="F131" s="2397"/>
      <c r="G131" s="2398"/>
      <c r="H131" s="2397"/>
      <c r="I131" s="2398"/>
      <c r="J131" s="2397"/>
      <c r="K131" s="2397"/>
      <c r="L131" s="2398"/>
      <c r="M131" s="2397"/>
      <c r="N131" s="2397"/>
      <c r="O131" s="2398"/>
      <c r="P131" s="2397"/>
      <c r="Q131" s="2397"/>
      <c r="R131" s="2399"/>
    </row>
    <row r="132" spans="2:18" s="2371" customFormat="1">
      <c r="B132" s="2397"/>
      <c r="C132" s="2397"/>
      <c r="D132" s="2397"/>
      <c r="E132" s="2397"/>
      <c r="F132" s="2397"/>
      <c r="G132" s="2398"/>
      <c r="H132" s="2397"/>
      <c r="I132" s="2398"/>
      <c r="J132" s="2397"/>
      <c r="K132" s="2397"/>
      <c r="L132" s="2398"/>
      <c r="M132" s="2397"/>
      <c r="N132" s="2397"/>
      <c r="O132" s="2398"/>
      <c r="P132" s="2397"/>
      <c r="Q132" s="2397"/>
      <c r="R132" s="2399"/>
    </row>
    <row r="133" spans="2:18" s="2371" customFormat="1">
      <c r="B133" s="2397"/>
      <c r="C133" s="2397"/>
      <c r="D133" s="2397"/>
      <c r="E133" s="2397"/>
      <c r="F133" s="2397"/>
      <c r="G133" s="2398"/>
      <c r="H133" s="2397"/>
      <c r="I133" s="2398"/>
      <c r="J133" s="2397"/>
      <c r="K133" s="2397"/>
      <c r="L133" s="2398"/>
      <c r="M133" s="2397"/>
      <c r="N133" s="2397"/>
      <c r="O133" s="2398"/>
      <c r="P133" s="2397"/>
      <c r="Q133" s="2397"/>
      <c r="R133" s="2399"/>
    </row>
    <row r="134" spans="2:18" s="2371" customFormat="1">
      <c r="B134" s="2397"/>
      <c r="C134" s="2397"/>
      <c r="D134" s="2397"/>
      <c r="E134" s="2397"/>
      <c r="F134" s="2397"/>
      <c r="G134" s="2398"/>
      <c r="H134" s="2397"/>
      <c r="I134" s="2398"/>
      <c r="J134" s="2397"/>
      <c r="K134" s="2397"/>
      <c r="L134" s="2398"/>
      <c r="M134" s="2397"/>
      <c r="N134" s="2397"/>
      <c r="O134" s="2398"/>
      <c r="P134" s="2397"/>
      <c r="Q134" s="2397"/>
      <c r="R134" s="2399"/>
    </row>
    <row r="135" spans="2:18" s="2371" customFormat="1">
      <c r="B135" s="2397"/>
      <c r="C135" s="2397"/>
      <c r="D135" s="2397"/>
      <c r="E135" s="2397"/>
      <c r="F135" s="2397"/>
      <c r="G135" s="2398"/>
      <c r="H135" s="2397"/>
      <c r="I135" s="2398"/>
      <c r="J135" s="2397"/>
      <c r="K135" s="2397"/>
      <c r="L135" s="2398"/>
      <c r="M135" s="2397"/>
      <c r="N135" s="2397"/>
      <c r="O135" s="2398"/>
      <c r="P135" s="2397"/>
      <c r="Q135" s="2397"/>
      <c r="R135" s="2399"/>
    </row>
    <row r="136" spans="2:18" s="2371" customFormat="1">
      <c r="B136" s="2397"/>
      <c r="C136" s="2397"/>
      <c r="D136" s="2397"/>
      <c r="E136" s="2397"/>
      <c r="F136" s="2397"/>
      <c r="G136" s="2398"/>
      <c r="H136" s="2397"/>
      <c r="I136" s="2398"/>
      <c r="J136" s="2397"/>
      <c r="K136" s="2397"/>
      <c r="L136" s="2398"/>
      <c r="M136" s="2397"/>
      <c r="N136" s="2397"/>
      <c r="O136" s="2398"/>
      <c r="P136" s="2397"/>
      <c r="Q136" s="2397"/>
      <c r="R136" s="2399"/>
    </row>
    <row r="137" spans="2:18" s="2371" customFormat="1">
      <c r="B137" s="2397"/>
      <c r="C137" s="2397"/>
      <c r="D137" s="2397"/>
      <c r="E137" s="2397"/>
      <c r="F137" s="2397"/>
      <c r="G137" s="2398"/>
      <c r="H137" s="2397"/>
      <c r="I137" s="2398"/>
      <c r="J137" s="2397"/>
      <c r="K137" s="2397"/>
      <c r="L137" s="2398"/>
      <c r="M137" s="2397"/>
      <c r="N137" s="2397"/>
      <c r="O137" s="2398"/>
      <c r="P137" s="2397"/>
      <c r="Q137" s="2397"/>
      <c r="R137" s="2399"/>
    </row>
    <row r="138" spans="2:18" s="2371" customFormat="1">
      <c r="B138" s="2397"/>
      <c r="C138" s="2397"/>
      <c r="D138" s="2397"/>
      <c r="E138" s="2397"/>
      <c r="F138" s="2397"/>
      <c r="G138" s="2398"/>
      <c r="H138" s="2397"/>
      <c r="I138" s="2398"/>
      <c r="J138" s="2397"/>
      <c r="K138" s="2397"/>
      <c r="L138" s="2398"/>
      <c r="M138" s="2397"/>
      <c r="N138" s="2397"/>
      <c r="O138" s="2398"/>
      <c r="P138" s="2397"/>
      <c r="Q138" s="2397"/>
      <c r="R138" s="2399"/>
    </row>
    <row r="139" spans="2:18" s="2371" customFormat="1">
      <c r="B139" s="2397"/>
      <c r="C139" s="2397"/>
      <c r="D139" s="2397"/>
      <c r="E139" s="2397"/>
      <c r="F139" s="2397"/>
      <c r="G139" s="2398"/>
      <c r="H139" s="2397"/>
      <c r="I139" s="2398"/>
      <c r="J139" s="2397"/>
      <c r="K139" s="2397"/>
      <c r="L139" s="2398"/>
      <c r="M139" s="2397"/>
      <c r="N139" s="2397"/>
      <c r="O139" s="2398"/>
      <c r="P139" s="2397"/>
      <c r="Q139" s="2397"/>
      <c r="R139" s="2399"/>
    </row>
    <row r="140" spans="2:18" s="2371" customFormat="1">
      <c r="B140" s="2397"/>
      <c r="C140" s="2397"/>
      <c r="D140" s="2397"/>
      <c r="E140" s="2397"/>
      <c r="F140" s="2397"/>
      <c r="G140" s="2398"/>
      <c r="H140" s="2397"/>
      <c r="I140" s="2398"/>
      <c r="J140" s="2397"/>
      <c r="K140" s="2397"/>
      <c r="L140" s="2398"/>
      <c r="M140" s="2397"/>
      <c r="N140" s="2397"/>
      <c r="O140" s="2398"/>
      <c r="P140" s="2397"/>
      <c r="Q140" s="2397"/>
      <c r="R140" s="2399"/>
    </row>
    <row r="141" spans="2:18" s="2371" customFormat="1">
      <c r="B141" s="2397"/>
      <c r="C141" s="2397"/>
      <c r="D141" s="2397"/>
      <c r="E141" s="2397"/>
      <c r="F141" s="2397"/>
      <c r="G141" s="2398"/>
      <c r="H141" s="2397"/>
      <c r="I141" s="2398"/>
      <c r="J141" s="2397"/>
      <c r="K141" s="2397"/>
      <c r="L141" s="2398"/>
      <c r="M141" s="2397"/>
      <c r="N141" s="2397"/>
      <c r="O141" s="2398"/>
      <c r="P141" s="2397"/>
      <c r="Q141" s="2397"/>
      <c r="R141" s="2399"/>
    </row>
    <row r="142" spans="2:18" s="2371" customFormat="1">
      <c r="B142" s="2397"/>
      <c r="C142" s="2397"/>
      <c r="D142" s="2397"/>
      <c r="E142" s="2397"/>
      <c r="F142" s="2397"/>
      <c r="G142" s="2398"/>
      <c r="H142" s="2397"/>
      <c r="I142" s="2398"/>
      <c r="J142" s="2397"/>
      <c r="K142" s="2397"/>
      <c r="L142" s="2398"/>
      <c r="M142" s="2397"/>
      <c r="N142" s="2397"/>
      <c r="O142" s="2398"/>
      <c r="P142" s="2397"/>
      <c r="Q142" s="2397"/>
      <c r="R142" s="2399"/>
    </row>
    <row r="143" spans="2:18" s="2371" customFormat="1">
      <c r="B143" s="2397"/>
      <c r="C143" s="2397"/>
      <c r="D143" s="2397"/>
      <c r="E143" s="2397"/>
      <c r="F143" s="2397"/>
      <c r="G143" s="2398"/>
      <c r="H143" s="2397"/>
      <c r="I143" s="2398"/>
      <c r="J143" s="2397"/>
      <c r="K143" s="2397"/>
      <c r="L143" s="2398"/>
      <c r="M143" s="2397"/>
      <c r="N143" s="2397"/>
      <c r="O143" s="2398"/>
      <c r="P143" s="2397"/>
      <c r="Q143" s="2397"/>
      <c r="R143" s="2399"/>
    </row>
    <row r="144" spans="2:18" s="2371" customFormat="1">
      <c r="B144" s="2397"/>
      <c r="C144" s="2397"/>
      <c r="D144" s="2397"/>
      <c r="E144" s="2397"/>
      <c r="F144" s="2397"/>
      <c r="G144" s="2398"/>
      <c r="H144" s="2397"/>
      <c r="I144" s="2398"/>
      <c r="J144" s="2397"/>
      <c r="K144" s="2397"/>
      <c r="L144" s="2398"/>
      <c r="M144" s="2397"/>
      <c r="N144" s="2397"/>
      <c r="O144" s="2398"/>
      <c r="P144" s="2397"/>
      <c r="Q144" s="2397"/>
      <c r="R144" s="2399"/>
    </row>
    <row r="145" spans="2:18" s="2371" customFormat="1">
      <c r="B145" s="2397"/>
      <c r="C145" s="2397"/>
      <c r="D145" s="2397"/>
      <c r="E145" s="2397"/>
      <c r="F145" s="2397"/>
      <c r="G145" s="2398"/>
      <c r="H145" s="2397"/>
      <c r="I145" s="2398"/>
      <c r="J145" s="2397"/>
      <c r="K145" s="2397"/>
      <c r="L145" s="2398"/>
      <c r="M145" s="2397"/>
      <c r="N145" s="2397"/>
      <c r="O145" s="2398"/>
      <c r="P145" s="2397"/>
      <c r="Q145" s="2397"/>
      <c r="R145" s="2399"/>
    </row>
    <row r="146" spans="2:18" s="2371" customFormat="1">
      <c r="B146" s="2397"/>
      <c r="C146" s="2397"/>
      <c r="D146" s="2397"/>
      <c r="E146" s="2397"/>
      <c r="F146" s="2397"/>
      <c r="G146" s="2398"/>
      <c r="H146" s="2397"/>
      <c r="I146" s="2398"/>
      <c r="J146" s="2397"/>
      <c r="K146" s="2397"/>
      <c r="L146" s="2398"/>
      <c r="M146" s="2397"/>
      <c r="N146" s="2397"/>
      <c r="O146" s="2398"/>
      <c r="P146" s="2397"/>
      <c r="Q146" s="2397"/>
      <c r="R146" s="2399"/>
    </row>
    <row r="147" spans="2:18" s="2371" customFormat="1">
      <c r="B147" s="2397"/>
      <c r="C147" s="2397"/>
      <c r="D147" s="2397"/>
      <c r="E147" s="2397"/>
      <c r="F147" s="2397"/>
      <c r="G147" s="2398"/>
      <c r="H147" s="2397"/>
      <c r="I147" s="2398"/>
      <c r="J147" s="2397"/>
      <c r="K147" s="2397"/>
      <c r="L147" s="2398"/>
      <c r="M147" s="2397"/>
      <c r="N147" s="2397"/>
      <c r="O147" s="2398"/>
      <c r="P147" s="2397"/>
      <c r="Q147" s="2397"/>
      <c r="R147" s="2399"/>
    </row>
    <row r="148" spans="2:18" s="2371" customFormat="1">
      <c r="B148" s="2397"/>
      <c r="C148" s="2397"/>
      <c r="D148" s="2397"/>
      <c r="E148" s="2397"/>
      <c r="F148" s="2397"/>
      <c r="G148" s="2398"/>
      <c r="H148" s="2397"/>
      <c r="I148" s="2398"/>
      <c r="J148" s="2397"/>
      <c r="K148" s="2397"/>
      <c r="L148" s="2398"/>
      <c r="M148" s="2397"/>
      <c r="N148" s="2397"/>
      <c r="O148" s="2398"/>
      <c r="P148" s="2397"/>
      <c r="Q148" s="2397"/>
      <c r="R148" s="2399"/>
    </row>
    <row r="149" spans="2:18" s="2371" customFormat="1">
      <c r="B149" s="2397"/>
      <c r="C149" s="2397"/>
      <c r="D149" s="2397"/>
      <c r="E149" s="2397"/>
      <c r="F149" s="2397"/>
      <c r="G149" s="2398"/>
      <c r="H149" s="2397"/>
      <c r="I149" s="2398"/>
      <c r="J149" s="2397"/>
      <c r="K149" s="2397"/>
      <c r="L149" s="2398"/>
      <c r="M149" s="2397"/>
      <c r="N149" s="2397"/>
      <c r="O149" s="2398"/>
      <c r="P149" s="2397"/>
      <c r="Q149" s="2397"/>
      <c r="R149" s="2399"/>
    </row>
    <row r="150" spans="2:18" s="2371" customFormat="1">
      <c r="B150" s="2397"/>
      <c r="C150" s="2397"/>
      <c r="D150" s="2397"/>
      <c r="E150" s="2397"/>
      <c r="F150" s="2397"/>
      <c r="G150" s="2398"/>
      <c r="H150" s="2397"/>
      <c r="I150" s="2398"/>
      <c r="J150" s="2397"/>
      <c r="K150" s="2397"/>
      <c r="L150" s="2398"/>
      <c r="M150" s="2397"/>
      <c r="N150" s="2397"/>
      <c r="O150" s="2398"/>
      <c r="P150" s="2397"/>
      <c r="Q150" s="2397"/>
      <c r="R150" s="2399"/>
    </row>
    <row r="151" spans="2:18" s="2371" customFormat="1">
      <c r="B151" s="2397"/>
      <c r="C151" s="2397"/>
      <c r="D151" s="2397"/>
      <c r="E151" s="2397"/>
      <c r="F151" s="2397"/>
      <c r="G151" s="2398"/>
      <c r="H151" s="2397"/>
      <c r="I151" s="2398"/>
      <c r="J151" s="2397"/>
      <c r="K151" s="2397"/>
      <c r="L151" s="2398"/>
      <c r="M151" s="2397"/>
      <c r="N151" s="2397"/>
      <c r="O151" s="2398"/>
      <c r="P151" s="2397"/>
      <c r="Q151" s="2397"/>
      <c r="R151" s="2399"/>
    </row>
    <row r="152" spans="2:18" s="2371" customFormat="1">
      <c r="B152" s="2397"/>
      <c r="C152" s="2397"/>
      <c r="D152" s="2397"/>
      <c r="E152" s="2397"/>
      <c r="F152" s="2397"/>
      <c r="G152" s="2398"/>
      <c r="H152" s="2397"/>
      <c r="I152" s="2398"/>
      <c r="J152" s="2397"/>
      <c r="K152" s="2397"/>
      <c r="L152" s="2398"/>
      <c r="M152" s="2397"/>
      <c r="N152" s="2397"/>
      <c r="O152" s="2398"/>
      <c r="P152" s="2397"/>
      <c r="Q152" s="2397"/>
      <c r="R152" s="2399"/>
    </row>
    <row r="153" spans="2:18" s="2371" customFormat="1">
      <c r="B153" s="2397"/>
      <c r="C153" s="2397"/>
      <c r="D153" s="2397"/>
      <c r="E153" s="2397"/>
      <c r="F153" s="2397"/>
      <c r="G153" s="2398"/>
      <c r="H153" s="2397"/>
      <c r="I153" s="2398"/>
      <c r="J153" s="2397"/>
      <c r="K153" s="2397"/>
      <c r="L153" s="2398"/>
      <c r="M153" s="2397"/>
      <c r="N153" s="2397"/>
      <c r="O153" s="2398"/>
      <c r="P153" s="2397"/>
      <c r="Q153" s="2397"/>
      <c r="R153" s="2399"/>
    </row>
    <row r="154" spans="2:18" s="2371" customFormat="1">
      <c r="B154" s="2397"/>
      <c r="C154" s="2397"/>
      <c r="D154" s="2397"/>
      <c r="E154" s="2397"/>
      <c r="F154" s="2397"/>
      <c r="G154" s="2398"/>
      <c r="H154" s="2397"/>
      <c r="I154" s="2398"/>
      <c r="J154" s="2397"/>
      <c r="K154" s="2397"/>
      <c r="L154" s="2398"/>
      <c r="M154" s="2397"/>
      <c r="N154" s="2397"/>
      <c r="O154" s="2398"/>
      <c r="P154" s="2397"/>
      <c r="Q154" s="2397"/>
      <c r="R154" s="2399"/>
    </row>
    <row r="155" spans="2:18" s="2371" customFormat="1">
      <c r="B155" s="2397"/>
      <c r="C155" s="2397"/>
      <c r="D155" s="2397"/>
      <c r="E155" s="2397"/>
      <c r="F155" s="2397"/>
      <c r="G155" s="2398"/>
      <c r="H155" s="2397"/>
      <c r="I155" s="2398"/>
      <c r="J155" s="2397"/>
      <c r="K155" s="2397"/>
      <c r="L155" s="2398"/>
      <c r="M155" s="2397"/>
      <c r="N155" s="2397"/>
      <c r="O155" s="2398"/>
      <c r="P155" s="2397"/>
      <c r="Q155" s="2397"/>
      <c r="R155" s="2399"/>
    </row>
    <row r="156" spans="2:18" s="2371" customFormat="1">
      <c r="B156" s="2397"/>
      <c r="C156" s="2397"/>
      <c r="D156" s="2397"/>
      <c r="E156" s="2397"/>
      <c r="F156" s="2397"/>
      <c r="G156" s="2398"/>
      <c r="H156" s="2397"/>
      <c r="I156" s="2398"/>
      <c r="J156" s="2397"/>
      <c r="K156" s="2397"/>
      <c r="L156" s="2398"/>
      <c r="M156" s="2397"/>
      <c r="N156" s="2397"/>
      <c r="O156" s="2398"/>
      <c r="P156" s="2397"/>
      <c r="Q156" s="2397"/>
      <c r="R156" s="2399"/>
    </row>
    <row r="157" spans="2:18" s="2371" customFormat="1">
      <c r="B157" s="2397"/>
      <c r="C157" s="2397"/>
      <c r="D157" s="2397"/>
      <c r="E157" s="2397"/>
      <c r="F157" s="2397"/>
      <c r="G157" s="2398"/>
      <c r="H157" s="2397"/>
      <c r="I157" s="2398"/>
      <c r="J157" s="2397"/>
      <c r="K157" s="2397"/>
      <c r="L157" s="2398"/>
      <c r="M157" s="2397"/>
      <c r="N157" s="2397"/>
      <c r="O157" s="2398"/>
      <c r="P157" s="2397"/>
      <c r="Q157" s="2397"/>
      <c r="R157" s="2399"/>
    </row>
    <row r="158" spans="2:18" s="2371" customFormat="1">
      <c r="B158" s="2397"/>
      <c r="C158" s="2397"/>
      <c r="D158" s="2397"/>
      <c r="E158" s="2397"/>
      <c r="F158" s="2397"/>
      <c r="G158" s="2398"/>
      <c r="H158" s="2397"/>
      <c r="I158" s="2398"/>
      <c r="J158" s="2397"/>
      <c r="K158" s="2397"/>
      <c r="L158" s="2398"/>
      <c r="M158" s="2397"/>
      <c r="N158" s="2397"/>
      <c r="O158" s="2398"/>
      <c r="P158" s="2397"/>
      <c r="Q158" s="2397"/>
      <c r="R158" s="2399"/>
    </row>
    <row r="159" spans="2:18" s="2371" customFormat="1">
      <c r="B159" s="2397"/>
      <c r="C159" s="2397"/>
      <c r="D159" s="2397"/>
      <c r="E159" s="2397"/>
      <c r="F159" s="2397"/>
      <c r="G159" s="2398"/>
      <c r="H159" s="2397"/>
      <c r="I159" s="2398"/>
      <c r="J159" s="2397"/>
      <c r="K159" s="2397"/>
      <c r="L159" s="2398"/>
      <c r="M159" s="2397"/>
      <c r="N159" s="2397"/>
      <c r="O159" s="2398"/>
      <c r="P159" s="2397"/>
      <c r="Q159" s="2397"/>
      <c r="R159" s="2399"/>
    </row>
    <row r="160" spans="2:18" s="2371" customFormat="1">
      <c r="B160" s="2397"/>
      <c r="C160" s="2397"/>
      <c r="D160" s="2397"/>
      <c r="E160" s="2397"/>
      <c r="F160" s="2397"/>
      <c r="G160" s="2398"/>
      <c r="H160" s="2397"/>
      <c r="I160" s="2398"/>
      <c r="J160" s="2397"/>
      <c r="K160" s="2397"/>
      <c r="L160" s="2398"/>
      <c r="M160" s="2397"/>
      <c r="N160" s="2397"/>
      <c r="O160" s="2398"/>
      <c r="P160" s="2397"/>
      <c r="Q160" s="2397"/>
      <c r="R160" s="2399"/>
    </row>
    <row r="161" spans="2:18" s="2371" customFormat="1">
      <c r="B161" s="2397"/>
      <c r="C161" s="2397"/>
      <c r="D161" s="2397"/>
      <c r="E161" s="2397"/>
      <c r="F161" s="2397"/>
      <c r="G161" s="2398"/>
      <c r="H161" s="2397"/>
      <c r="I161" s="2398"/>
      <c r="J161" s="2397"/>
      <c r="K161" s="2397"/>
      <c r="L161" s="2398"/>
      <c r="M161" s="2397"/>
      <c r="N161" s="2397"/>
      <c r="O161" s="2398"/>
      <c r="P161" s="2397"/>
      <c r="Q161" s="2397"/>
      <c r="R161" s="2399"/>
    </row>
    <row r="162" spans="2:18" s="2371" customFormat="1">
      <c r="B162" s="2397"/>
      <c r="C162" s="2397"/>
      <c r="D162" s="2397"/>
      <c r="E162" s="2397"/>
      <c r="F162" s="2397"/>
      <c r="G162" s="2398"/>
      <c r="H162" s="2397"/>
      <c r="I162" s="2398"/>
      <c r="J162" s="2397"/>
      <c r="K162" s="2397"/>
      <c r="L162" s="2398"/>
      <c r="M162" s="2397"/>
      <c r="N162" s="2397"/>
      <c r="O162" s="2398"/>
      <c r="P162" s="2397"/>
      <c r="Q162" s="2397"/>
      <c r="R162" s="2399"/>
    </row>
    <row r="163" spans="2:18" s="2371" customFormat="1">
      <c r="B163" s="2397"/>
      <c r="C163" s="2397"/>
      <c r="D163" s="2397"/>
      <c r="E163" s="2397"/>
      <c r="F163" s="2397"/>
      <c r="G163" s="2398"/>
      <c r="H163" s="2397"/>
      <c r="I163" s="2398"/>
      <c r="J163" s="2397"/>
      <c r="K163" s="2397"/>
      <c r="L163" s="2398"/>
      <c r="M163" s="2397"/>
      <c r="N163" s="2397"/>
      <c r="O163" s="2398"/>
      <c r="P163" s="2397"/>
      <c r="Q163" s="2397"/>
      <c r="R163" s="2399"/>
    </row>
    <row r="164" spans="2:18" s="2371" customFormat="1">
      <c r="B164" s="2397"/>
      <c r="C164" s="2397"/>
      <c r="D164" s="2397"/>
      <c r="E164" s="2397"/>
      <c r="F164" s="2397"/>
      <c r="G164" s="2398"/>
      <c r="H164" s="2397"/>
      <c r="I164" s="2398"/>
      <c r="J164" s="2397"/>
      <c r="K164" s="2397"/>
      <c r="L164" s="2398"/>
      <c r="M164" s="2397"/>
      <c r="N164" s="2397"/>
      <c r="O164" s="2398"/>
      <c r="P164" s="2397"/>
      <c r="Q164" s="2397"/>
      <c r="R164" s="2399"/>
    </row>
    <row r="165" spans="2:18" s="2371" customFormat="1">
      <c r="B165" s="2397"/>
      <c r="C165" s="2397"/>
      <c r="D165" s="2397"/>
      <c r="E165" s="2397"/>
      <c r="F165" s="2397"/>
      <c r="G165" s="2398"/>
      <c r="H165" s="2397"/>
      <c r="I165" s="2398"/>
      <c r="J165" s="2397"/>
      <c r="K165" s="2397"/>
      <c r="L165" s="2398"/>
      <c r="M165" s="2397"/>
      <c r="N165" s="2397"/>
      <c r="O165" s="2398"/>
      <c r="P165" s="2397"/>
      <c r="Q165" s="2397"/>
      <c r="R165" s="2399"/>
    </row>
    <row r="166" spans="2:18" s="2371" customFormat="1">
      <c r="B166" s="2397"/>
      <c r="C166" s="2397"/>
      <c r="D166" s="2397"/>
      <c r="E166" s="2397"/>
      <c r="F166" s="2397"/>
      <c r="G166" s="2398"/>
      <c r="H166" s="2397"/>
      <c r="I166" s="2398"/>
      <c r="J166" s="2397"/>
      <c r="K166" s="2397"/>
      <c r="L166" s="2398"/>
      <c r="M166" s="2397"/>
      <c r="N166" s="2397"/>
      <c r="O166" s="2398"/>
      <c r="P166" s="2397"/>
      <c r="Q166" s="2397"/>
      <c r="R166" s="2399"/>
    </row>
    <row r="167" spans="2:18" s="2371" customFormat="1">
      <c r="B167" s="2397"/>
      <c r="C167" s="2397"/>
      <c r="D167" s="2397"/>
      <c r="E167" s="2397"/>
      <c r="F167" s="2397"/>
      <c r="G167" s="2398"/>
      <c r="H167" s="2397"/>
      <c r="I167" s="2398"/>
      <c r="J167" s="2397"/>
      <c r="K167" s="2397"/>
      <c r="L167" s="2398"/>
      <c r="M167" s="2397"/>
      <c r="N167" s="2397"/>
      <c r="O167" s="2398"/>
      <c r="P167" s="2397"/>
      <c r="Q167" s="2397"/>
      <c r="R167" s="2399"/>
    </row>
    <row r="168" spans="2:18" s="2371" customFormat="1">
      <c r="B168" s="2397"/>
      <c r="C168" s="2397"/>
      <c r="D168" s="2397"/>
      <c r="E168" s="2397"/>
      <c r="F168" s="2397"/>
      <c r="G168" s="2398"/>
      <c r="H168" s="2397"/>
      <c r="I168" s="2398"/>
      <c r="J168" s="2397"/>
      <c r="K168" s="2397"/>
      <c r="L168" s="2398"/>
      <c r="M168" s="2397"/>
      <c r="N168" s="2397"/>
      <c r="O168" s="2398"/>
      <c r="P168" s="2397"/>
      <c r="Q168" s="2397"/>
      <c r="R168" s="2399"/>
    </row>
    <row r="169" spans="2:18" s="2371" customFormat="1">
      <c r="B169" s="2397"/>
      <c r="C169" s="2397"/>
      <c r="D169" s="2397"/>
      <c r="E169" s="2397"/>
      <c r="F169" s="2397"/>
      <c r="G169" s="2398"/>
      <c r="H169" s="2397"/>
      <c r="I169" s="2398"/>
      <c r="J169" s="2397"/>
      <c r="K169" s="2397"/>
      <c r="L169" s="2398"/>
      <c r="M169" s="2397"/>
      <c r="N169" s="2397"/>
      <c r="O169" s="2398"/>
      <c r="P169" s="2397"/>
      <c r="Q169" s="2397"/>
      <c r="R169" s="2399"/>
    </row>
    <row r="170" spans="2:18" s="2371" customFormat="1">
      <c r="B170" s="2397"/>
      <c r="C170" s="2397"/>
      <c r="D170" s="2397"/>
      <c r="E170" s="2397"/>
      <c r="F170" s="2397"/>
      <c r="G170" s="2398"/>
      <c r="H170" s="2397"/>
      <c r="I170" s="2398"/>
      <c r="J170" s="2397"/>
      <c r="K170" s="2397"/>
      <c r="L170" s="2398"/>
      <c r="M170" s="2397"/>
      <c r="N170" s="2397"/>
      <c r="O170" s="2398"/>
      <c r="P170" s="2397"/>
      <c r="Q170" s="2397"/>
      <c r="R170" s="2399"/>
    </row>
    <row r="171" spans="2:18" s="2371" customFormat="1">
      <c r="B171" s="2397"/>
      <c r="C171" s="2397"/>
      <c r="D171" s="2397"/>
      <c r="E171" s="2397"/>
      <c r="F171" s="2397"/>
      <c r="G171" s="2398"/>
      <c r="H171" s="2397"/>
      <c r="I171" s="2398"/>
      <c r="J171" s="2397"/>
      <c r="K171" s="2397"/>
      <c r="L171" s="2398"/>
      <c r="M171" s="2397"/>
      <c r="N171" s="2397"/>
      <c r="O171" s="2398"/>
      <c r="P171" s="2397"/>
      <c r="Q171" s="2397"/>
      <c r="R171" s="2399"/>
    </row>
    <row r="172" spans="2:18" s="2371" customFormat="1">
      <c r="B172" s="2397"/>
      <c r="C172" s="2397"/>
      <c r="D172" s="2397"/>
      <c r="E172" s="2397"/>
      <c r="F172" s="2397"/>
      <c r="G172" s="2398"/>
      <c r="H172" s="2397"/>
      <c r="I172" s="2398"/>
      <c r="J172" s="2397"/>
      <c r="K172" s="2397"/>
      <c r="L172" s="2398"/>
      <c r="M172" s="2397"/>
      <c r="N172" s="2397"/>
      <c r="O172" s="2398"/>
      <c r="P172" s="2397"/>
      <c r="Q172" s="2397"/>
      <c r="R172" s="2399"/>
    </row>
    <row r="173" spans="2:18" s="2371" customFormat="1">
      <c r="B173" s="2397"/>
      <c r="C173" s="2397"/>
      <c r="D173" s="2397"/>
      <c r="E173" s="2397"/>
      <c r="F173" s="2397"/>
      <c r="G173" s="2398"/>
      <c r="H173" s="2397"/>
      <c r="I173" s="2398"/>
      <c r="J173" s="2397"/>
      <c r="K173" s="2397"/>
      <c r="L173" s="2398"/>
      <c r="M173" s="2397"/>
      <c r="N173" s="2397"/>
      <c r="O173" s="2398"/>
      <c r="P173" s="2397"/>
      <c r="Q173" s="2397"/>
      <c r="R173" s="2399"/>
    </row>
    <row r="174" spans="2:18" s="2371" customFormat="1">
      <c r="B174" s="2397"/>
      <c r="C174" s="2397"/>
      <c r="D174" s="2397"/>
      <c r="E174" s="2397"/>
      <c r="F174" s="2397"/>
      <c r="G174" s="2398"/>
      <c r="H174" s="2397"/>
      <c r="I174" s="2398"/>
      <c r="J174" s="2397"/>
      <c r="K174" s="2397"/>
      <c r="L174" s="2398"/>
      <c r="M174" s="2397"/>
      <c r="N174" s="2397"/>
      <c r="O174" s="2398"/>
      <c r="P174" s="2397"/>
      <c r="Q174" s="2397"/>
      <c r="R174" s="2399"/>
    </row>
    <row r="175" spans="2:18" s="2371" customFormat="1">
      <c r="B175" s="2397"/>
      <c r="C175" s="2397"/>
      <c r="D175" s="2397"/>
      <c r="E175" s="2397"/>
      <c r="F175" s="2397"/>
      <c r="G175" s="2398"/>
      <c r="H175" s="2397"/>
      <c r="I175" s="2398"/>
      <c r="J175" s="2397"/>
      <c r="K175" s="2397"/>
      <c r="L175" s="2398"/>
      <c r="M175" s="2397"/>
      <c r="N175" s="2397"/>
      <c r="O175" s="2398"/>
      <c r="P175" s="2397"/>
      <c r="Q175" s="2397"/>
      <c r="R175" s="2399"/>
    </row>
    <row r="176" spans="2:18" s="2371" customFormat="1">
      <c r="B176" s="2397"/>
      <c r="C176" s="2397"/>
      <c r="D176" s="2397"/>
      <c r="E176" s="2397"/>
      <c r="F176" s="2397"/>
      <c r="G176" s="2398"/>
      <c r="H176" s="2397"/>
      <c r="I176" s="2398"/>
      <c r="J176" s="2397"/>
      <c r="K176" s="2397"/>
      <c r="L176" s="2398"/>
      <c r="M176" s="2397"/>
      <c r="N176" s="2397"/>
      <c r="O176" s="2398"/>
      <c r="P176" s="2397"/>
      <c r="Q176" s="2397"/>
      <c r="R176" s="2399"/>
    </row>
    <row r="177" spans="1:18" s="2371" customFormat="1">
      <c r="B177" s="2397"/>
      <c r="C177" s="2397"/>
      <c r="D177" s="2397"/>
      <c r="E177" s="2397"/>
      <c r="F177" s="2397"/>
      <c r="G177" s="2398"/>
      <c r="H177" s="2397"/>
      <c r="I177" s="2398"/>
      <c r="J177" s="2397"/>
      <c r="K177" s="2397"/>
      <c r="L177" s="2398"/>
      <c r="M177" s="2397"/>
      <c r="N177" s="2397"/>
      <c r="O177" s="2398"/>
      <c r="P177" s="2397"/>
      <c r="Q177" s="2397"/>
      <c r="R177" s="2399"/>
    </row>
    <row r="178" spans="1:18" s="2371" customFormat="1">
      <c r="B178" s="2397"/>
      <c r="C178" s="2397"/>
      <c r="D178" s="2397"/>
      <c r="E178" s="2397"/>
      <c r="F178" s="2397"/>
      <c r="G178" s="2398"/>
      <c r="H178" s="2397"/>
      <c r="I178" s="2398"/>
      <c r="J178" s="2397"/>
      <c r="K178" s="2397"/>
      <c r="L178" s="2398"/>
      <c r="M178" s="2397"/>
      <c r="N178" s="2397"/>
      <c r="O178" s="2398"/>
      <c r="P178" s="2397"/>
      <c r="Q178" s="2397"/>
      <c r="R178" s="2399"/>
    </row>
    <row r="179" spans="1:18" s="2371" customFormat="1">
      <c r="B179" s="2397"/>
      <c r="C179" s="2397"/>
      <c r="D179" s="2397"/>
      <c r="E179" s="2397"/>
      <c r="F179" s="2397"/>
      <c r="G179" s="2398"/>
      <c r="H179" s="2397"/>
      <c r="I179" s="2398"/>
      <c r="J179" s="2397"/>
      <c r="K179" s="2397"/>
      <c r="L179" s="2398"/>
      <c r="M179" s="2397"/>
      <c r="N179" s="2397"/>
      <c r="O179" s="2398"/>
      <c r="P179" s="2397"/>
      <c r="Q179" s="2397"/>
      <c r="R179" s="2399"/>
    </row>
    <row r="180" spans="1:18" s="2371" customFormat="1">
      <c r="B180" s="2397"/>
      <c r="C180" s="2397"/>
      <c r="D180" s="2397"/>
      <c r="E180" s="2397"/>
      <c r="F180" s="2397"/>
      <c r="G180" s="2398"/>
      <c r="H180" s="2397"/>
      <c r="I180" s="2398"/>
      <c r="J180" s="2397"/>
      <c r="K180" s="2397"/>
      <c r="L180" s="2398"/>
      <c r="M180" s="2397"/>
      <c r="N180" s="2397"/>
      <c r="O180" s="2398"/>
      <c r="P180" s="2397"/>
      <c r="Q180" s="2397"/>
      <c r="R180" s="2399"/>
    </row>
    <row r="181" spans="1:18" s="2371" customFormat="1">
      <c r="B181" s="2397"/>
      <c r="C181" s="2397"/>
      <c r="D181" s="2397"/>
      <c r="E181" s="2397"/>
      <c r="F181" s="2397"/>
      <c r="G181" s="2398"/>
      <c r="H181" s="2397"/>
      <c r="I181" s="2398"/>
      <c r="J181" s="2397"/>
      <c r="K181" s="2397"/>
      <c r="L181" s="2398"/>
      <c r="M181" s="2397"/>
      <c r="N181" s="2397"/>
      <c r="O181" s="2398"/>
      <c r="P181" s="2397"/>
      <c r="Q181" s="2397"/>
      <c r="R181" s="2399"/>
    </row>
    <row r="182" spans="1:18" s="2371" customFormat="1">
      <c r="B182" s="2397"/>
      <c r="C182" s="2397"/>
      <c r="D182" s="2397"/>
      <c r="E182" s="2397"/>
      <c r="F182" s="2397"/>
      <c r="G182" s="2398"/>
      <c r="H182" s="2397"/>
      <c r="I182" s="2398"/>
      <c r="J182" s="2397"/>
      <c r="K182" s="2397"/>
      <c r="L182" s="2398"/>
      <c r="M182" s="2397"/>
      <c r="N182" s="2397"/>
      <c r="O182" s="2398"/>
      <c r="P182" s="2397"/>
      <c r="Q182" s="2397"/>
      <c r="R182" s="2399"/>
    </row>
    <row r="183" spans="1:18" s="2371" customFormat="1">
      <c r="B183" s="2397"/>
      <c r="C183" s="2397"/>
      <c r="D183" s="2397"/>
      <c r="E183" s="2397"/>
      <c r="F183" s="2397"/>
      <c r="G183" s="2398"/>
      <c r="H183" s="2397"/>
      <c r="I183" s="2398"/>
      <c r="J183" s="2397"/>
      <c r="K183" s="2397"/>
      <c r="L183" s="2398"/>
      <c r="M183" s="2397"/>
      <c r="N183" s="2397"/>
      <c r="O183" s="2398"/>
      <c r="P183" s="2397"/>
      <c r="Q183" s="2397"/>
      <c r="R183" s="2399"/>
    </row>
    <row r="184" spans="1:18" s="2371" customFormat="1">
      <c r="B184" s="2397"/>
      <c r="C184" s="2397"/>
      <c r="D184" s="2397"/>
      <c r="E184" s="2397"/>
      <c r="F184" s="2397"/>
      <c r="G184" s="2398"/>
      <c r="H184" s="2397"/>
      <c r="I184" s="2398"/>
      <c r="J184" s="2397"/>
      <c r="K184" s="2397"/>
      <c r="L184" s="2398"/>
      <c r="M184" s="2397"/>
      <c r="N184" s="2397"/>
      <c r="O184" s="2398"/>
      <c r="P184" s="2397"/>
      <c r="Q184" s="2397"/>
      <c r="R184" s="2399"/>
    </row>
    <row r="185" spans="1:18" s="2371"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71"/>
      <c r="B186" s="2397"/>
      <c r="C186" s="2397"/>
      <c r="E186" s="2397"/>
      <c r="F186" s="2397"/>
      <c r="G186" s="2398"/>
    </row>
    <row r="187" spans="1:18">
      <c r="A187" s="2371"/>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1364</v>
      </c>
      <c r="B1" s="1746">
        <f>SUM(B14:B23)</f>
        <v>16346.349999999999</v>
      </c>
      <c r="C1" s="1745"/>
      <c r="D1" s="1745"/>
      <c r="E1" s="1745"/>
      <c r="F1" s="1745"/>
      <c r="G1" s="1743"/>
    </row>
    <row r="2" spans="1:10" ht="16.5">
      <c r="A2" s="1746" t="s">
        <v>1352</v>
      </c>
      <c r="B2" s="1746">
        <f>SUM(C14:C23)</f>
        <v>13177.7</v>
      </c>
      <c r="C2" s="1745"/>
      <c r="D2" s="1745"/>
      <c r="E2" s="1745"/>
      <c r="F2" s="1745"/>
      <c r="G2" s="1743"/>
    </row>
    <row r="3" spans="1:10" ht="16.5">
      <c r="A3" s="1746" t="s">
        <v>1361</v>
      </c>
      <c r="B3" s="1747">
        <f>项目基本情况!D3</f>
        <v>43200</v>
      </c>
      <c r="C3" s="1745"/>
      <c r="D3" s="1745"/>
      <c r="E3" s="1745"/>
      <c r="F3" s="1745"/>
      <c r="G3" s="1743"/>
    </row>
    <row r="4" spans="1:10" ht="33">
      <c r="A4" s="1746" t="s">
        <v>1360</v>
      </c>
      <c r="B4" s="1746" t="s">
        <v>1359</v>
      </c>
      <c r="C4" s="1746" t="s">
        <v>1358</v>
      </c>
      <c r="D4" s="1746" t="s">
        <v>1357</v>
      </c>
      <c r="E4" s="1745"/>
      <c r="F4" s="1743"/>
      <c r="G4" s="1743"/>
    </row>
    <row r="5" spans="1:10" ht="16.5">
      <c r="A5" s="1746" t="s">
        <v>1356</v>
      </c>
      <c r="B5" s="1746">
        <f ca="1">SUM(D14:D23)</f>
        <v>10036</v>
      </c>
      <c r="C5" s="1746">
        <f ca="1">ROUND(B5*10000/$B$1,0)</f>
        <v>6140</v>
      </c>
      <c r="D5" s="1746">
        <f ca="1">ROUND(B5*10000/$B$2,0)</f>
        <v>7616</v>
      </c>
      <c r="E5" s="1745"/>
      <c r="F5" s="1743"/>
      <c r="G5" s="1743"/>
    </row>
    <row r="6" spans="1:10" ht="16.5">
      <c r="A6" s="1746" t="s">
        <v>1355</v>
      </c>
      <c r="B6" s="1746">
        <f ca="1">SUM(G14:G23)</f>
        <v>10036</v>
      </c>
      <c r="C6" s="1746">
        <f ca="1">ROUND(B6*10000/$B$1,0)</f>
        <v>6140</v>
      </c>
      <c r="D6" s="1746">
        <f ca="1">ROUND(B6*10000/$B$2,0)</f>
        <v>7616</v>
      </c>
      <c r="E6" s="1745"/>
      <c r="F6" s="1743"/>
      <c r="G6" s="1743"/>
    </row>
    <row r="7" spans="1:10" ht="16.5">
      <c r="A7" s="1746" t="s">
        <v>1363</v>
      </c>
      <c r="B7" s="1746">
        <f>SUM(H14:H23)</f>
        <v>0</v>
      </c>
      <c r="C7" s="1746">
        <f>ROUND(B7*10000/$B$1,0)</f>
        <v>0</v>
      </c>
      <c r="D7" s="1746">
        <f>ROUND(B7*10000/$B$2,0)</f>
        <v>0</v>
      </c>
      <c r="E7" s="1745"/>
      <c r="F7" s="1743"/>
      <c r="G7" s="1743"/>
    </row>
    <row r="8" spans="1:10" ht="16.5">
      <c r="A8" s="1746" t="s">
        <v>1284</v>
      </c>
      <c r="B8" s="1746">
        <f>SUM(I14:I23)</f>
        <v>0</v>
      </c>
      <c r="C8" s="1746">
        <f>ROUND(B8*10000/$B$1,0)</f>
        <v>0</v>
      </c>
      <c r="D8" s="1746">
        <f>ROUND(B8*10000/$B$2,0)</f>
        <v>0</v>
      </c>
      <c r="E8" s="1745"/>
      <c r="F8" s="1743"/>
      <c r="G8" s="1743"/>
    </row>
    <row r="9" spans="1:10" ht="16.5">
      <c r="A9" s="1746" t="s">
        <v>1354</v>
      </c>
      <c r="B9" s="1748"/>
      <c r="C9" s="1745"/>
      <c r="D9" s="1745"/>
      <c r="E9" s="1745"/>
      <c r="F9" s="1743"/>
      <c r="G9" s="1743"/>
    </row>
    <row r="10" spans="1:10" ht="16.5">
      <c r="A10" s="1746" t="s">
        <v>1353</v>
      </c>
      <c r="B10" s="1748"/>
      <c r="C10" s="1745"/>
      <c r="D10" s="1745"/>
      <c r="E10" s="1745"/>
      <c r="F10" s="1743"/>
      <c r="G10" s="1743"/>
    </row>
    <row r="11" spans="1:10" ht="16.5">
      <c r="A11" s="1746" t="s">
        <v>1369</v>
      </c>
      <c r="B11" s="1748"/>
      <c r="C11" s="1745"/>
      <c r="D11" s="1745"/>
      <c r="E11" s="1745"/>
      <c r="F11" s="1743"/>
      <c r="G11" s="1743"/>
    </row>
    <row r="12" spans="1:10" ht="16.5">
      <c r="A12" s="1745"/>
      <c r="B12" s="1745"/>
      <c r="C12" s="1745"/>
      <c r="D12" s="1745"/>
      <c r="E12" s="1745"/>
      <c r="F12" s="1743"/>
      <c r="G12" s="1743"/>
    </row>
    <row r="13" spans="1:10" ht="33">
      <c r="A13" s="1751" t="s">
        <v>1368</v>
      </c>
      <c r="B13" s="1744" t="s">
        <v>1365</v>
      </c>
      <c r="C13" s="1744" t="s">
        <v>1367</v>
      </c>
      <c r="D13" s="1744" t="s">
        <v>1366</v>
      </c>
      <c r="E13" s="1746" t="s">
        <v>1358</v>
      </c>
      <c r="F13" s="1746" t="s">
        <v>1357</v>
      </c>
      <c r="G13" s="1744" t="s">
        <v>1351</v>
      </c>
      <c r="H13" s="1744" t="s">
        <v>1362</v>
      </c>
      <c r="I13" s="1744" t="s">
        <v>1350</v>
      </c>
      <c r="J13" s="1743"/>
    </row>
    <row r="14" spans="1:10" ht="16.5">
      <c r="A14" s="1742" t="s">
        <v>1349</v>
      </c>
      <c r="B14" s="1744">
        <f>结果表!B118</f>
        <v>16346.349999999999</v>
      </c>
      <c r="C14" s="1744">
        <f>结果表!C118</f>
        <v>13177.7</v>
      </c>
      <c r="D14" s="1744">
        <f ca="1">结果表!H118</f>
        <v>10036</v>
      </c>
      <c r="E14" s="1744">
        <f ca="1">ROUND(D14*10000/B14,0)</f>
        <v>6140</v>
      </c>
      <c r="F14" s="1744">
        <f ca="1">ROUND(D14*10000/C14,0)</f>
        <v>7616</v>
      </c>
      <c r="G14" s="1744">
        <f ca="1">结果表!D122</f>
        <v>10036</v>
      </c>
      <c r="H14" s="1744" t="str">
        <f>结果表!D124</f>
        <v>——</v>
      </c>
      <c r="I14" s="1744" t="str">
        <f>结果表!D126</f>
        <v>——</v>
      </c>
      <c r="J14" s="1743"/>
    </row>
    <row r="15" spans="1:10" ht="16.5">
      <c r="A15" s="1742" t="s">
        <v>1348</v>
      </c>
      <c r="B15" s="1749"/>
      <c r="C15" s="1749"/>
      <c r="D15" s="1749"/>
      <c r="E15" s="1744" t="e">
        <f t="shared" ref="E15:E23" si="0">ROUND(D15*10000/B15,0)</f>
        <v>#DIV/0!</v>
      </c>
      <c r="F15" s="1744" t="e">
        <f t="shared" ref="F15:F23" si="1">ROUND(D15*10000/C15,0)</f>
        <v>#DIV/0!</v>
      </c>
      <c r="G15" s="1750"/>
      <c r="H15" s="1750"/>
      <c r="I15" s="1749"/>
      <c r="J15" s="1743"/>
    </row>
    <row r="16" spans="1:10" ht="16.5">
      <c r="A16" s="1742" t="s">
        <v>1347</v>
      </c>
      <c r="B16" s="1749"/>
      <c r="C16" s="1749"/>
      <c r="D16" s="1749"/>
      <c r="E16" s="1744" t="e">
        <f t="shared" si="0"/>
        <v>#DIV/0!</v>
      </c>
      <c r="F16" s="1744" t="e">
        <f t="shared" si="1"/>
        <v>#DIV/0!</v>
      </c>
      <c r="G16" s="1750"/>
      <c r="H16" s="1750"/>
      <c r="I16" s="1749"/>
    </row>
    <row r="17" spans="1:9" ht="16.5">
      <c r="A17" s="1742" t="s">
        <v>1346</v>
      </c>
      <c r="B17" s="1749"/>
      <c r="C17" s="1749"/>
      <c r="D17" s="1749"/>
      <c r="E17" s="1744" t="e">
        <f t="shared" si="0"/>
        <v>#DIV/0!</v>
      </c>
      <c r="F17" s="1744" t="e">
        <f t="shared" si="1"/>
        <v>#DIV/0!</v>
      </c>
      <c r="G17" s="1750"/>
      <c r="H17" s="1750"/>
      <c r="I17" s="1749"/>
    </row>
    <row r="18" spans="1:9" ht="16.5">
      <c r="A18" s="1742" t="s">
        <v>1345</v>
      </c>
      <c r="B18" s="1749"/>
      <c r="C18" s="1749"/>
      <c r="D18" s="1749"/>
      <c r="E18" s="1744" t="e">
        <f t="shared" si="0"/>
        <v>#DIV/0!</v>
      </c>
      <c r="F18" s="1744" t="e">
        <f t="shared" si="1"/>
        <v>#DIV/0!</v>
      </c>
      <c r="G18" s="1749"/>
      <c r="H18" s="1749"/>
      <c r="I18" s="1749"/>
    </row>
    <row r="19" spans="1:9" ht="16.5">
      <c r="A19" s="1742" t="s">
        <v>1344</v>
      </c>
      <c r="B19" s="1749"/>
      <c r="C19" s="1749"/>
      <c r="D19" s="1749"/>
      <c r="E19" s="1744" t="e">
        <f t="shared" si="0"/>
        <v>#DIV/0!</v>
      </c>
      <c r="F19" s="1744" t="e">
        <f t="shared" si="1"/>
        <v>#DIV/0!</v>
      </c>
      <c r="G19" s="1749"/>
      <c r="H19" s="1749"/>
      <c r="I19" s="1749"/>
    </row>
    <row r="20" spans="1:9" ht="16.5">
      <c r="A20" s="1742" t="s">
        <v>1343</v>
      </c>
      <c r="B20" s="1749"/>
      <c r="C20" s="1749"/>
      <c r="D20" s="1749"/>
      <c r="E20" s="1744" t="e">
        <f t="shared" si="0"/>
        <v>#DIV/0!</v>
      </c>
      <c r="F20" s="1744" t="e">
        <f t="shared" si="1"/>
        <v>#DIV/0!</v>
      </c>
      <c r="G20" s="1749"/>
      <c r="H20" s="1749"/>
      <c r="I20" s="1749"/>
    </row>
    <row r="21" spans="1:9" ht="16.5">
      <c r="A21" s="1742" t="s">
        <v>1342</v>
      </c>
      <c r="B21" s="1749"/>
      <c r="C21" s="1749"/>
      <c r="D21" s="1749"/>
      <c r="E21" s="1744" t="e">
        <f t="shared" si="0"/>
        <v>#DIV/0!</v>
      </c>
      <c r="F21" s="1744" t="e">
        <f t="shared" si="1"/>
        <v>#DIV/0!</v>
      </c>
      <c r="G21" s="1749"/>
      <c r="H21" s="1749"/>
      <c r="I21" s="1749"/>
    </row>
    <row r="22" spans="1:9" ht="16.5">
      <c r="A22" s="1742" t="s">
        <v>1341</v>
      </c>
      <c r="B22" s="1749"/>
      <c r="C22" s="1749"/>
      <c r="D22" s="1749"/>
      <c r="E22" s="1744" t="e">
        <f t="shared" si="0"/>
        <v>#DIV/0!</v>
      </c>
      <c r="F22" s="1744" t="e">
        <f t="shared" si="1"/>
        <v>#DIV/0!</v>
      </c>
      <c r="G22" s="1749"/>
      <c r="H22" s="1749"/>
      <c r="I22" s="1749"/>
    </row>
    <row r="23" spans="1:9" ht="16.5">
      <c r="A23" s="1742" t="s">
        <v>1340</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1" sqref="G21"/>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8" t="s">
        <v>2094</v>
      </c>
      <c r="B1" s="2420"/>
      <c r="C1" s="2421" t="s">
        <v>3042</v>
      </c>
      <c r="D1" s="2420"/>
      <c r="E1" s="2420"/>
      <c r="F1" s="2422" t="s">
        <v>2095</v>
      </c>
      <c r="G1" s="2073" t="s">
        <v>3032</v>
      </c>
      <c r="H1" s="2423" t="str">
        <f>IF(G1="现房","——","估价对象范围")</f>
        <v>——</v>
      </c>
      <c r="I1" s="2424"/>
    </row>
    <row r="2" spans="1:12" ht="21.75" customHeight="1" thickBot="1">
      <c r="A2" s="3078" t="str">
        <f>项目基本情况!S2</f>
        <v>北京市顺义区白马路马坡段60号院1-6幢工业用房房地产</v>
      </c>
      <c r="B2" s="3079"/>
      <c r="C2" s="3079"/>
      <c r="D2" s="3079"/>
      <c r="E2" s="3079"/>
      <c r="F2" s="3079"/>
      <c r="G2" s="3079"/>
      <c r="H2" s="3079"/>
      <c r="I2" s="3080"/>
    </row>
    <row r="3" spans="1:12" ht="12.75">
      <c r="A3" s="3082" t="s">
        <v>2096</v>
      </c>
      <c r="B3" s="3083"/>
      <c r="C3" s="3083"/>
      <c r="D3" s="3083"/>
      <c r="E3" s="3083"/>
      <c r="F3" s="3083"/>
      <c r="G3" s="3083"/>
      <c r="H3" s="3083"/>
      <c r="I3" s="3083"/>
    </row>
    <row r="4" spans="1:12" ht="14.25">
      <c r="A4" s="2427" t="s">
        <v>2097</v>
      </c>
      <c r="B4" s="2428" t="s">
        <v>2098</v>
      </c>
      <c r="C4" s="2429" t="s">
        <v>3073</v>
      </c>
      <c r="D4" s="2429" t="s">
        <v>3051</v>
      </c>
      <c r="E4" s="3075" t="s">
        <v>2099</v>
      </c>
      <c r="F4" s="3076"/>
      <c r="G4" s="3076"/>
      <c r="H4" s="3076"/>
      <c r="I4" s="3084"/>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58" t="s">
        <v>2100</v>
      </c>
      <c r="B5" s="2996">
        <v>25</v>
      </c>
      <c r="C5" s="3061"/>
      <c r="D5" s="3081"/>
      <c r="E5" s="140" t="s">
        <v>2101</v>
      </c>
      <c r="F5" s="2431"/>
      <c r="G5" s="2431"/>
      <c r="H5" s="2431"/>
      <c r="I5" s="1834"/>
    </row>
    <row r="6" spans="1:12" ht="12.75">
      <c r="A6" s="3058"/>
      <c r="B6" s="2996"/>
      <c r="C6" s="3062"/>
      <c r="D6" s="3081"/>
      <c r="E6" s="140" t="s">
        <v>2102</v>
      </c>
      <c r="F6" s="2431"/>
      <c r="G6" s="2431"/>
      <c r="H6" s="2431"/>
      <c r="I6" s="1834"/>
    </row>
    <row r="7" spans="1:12" ht="12.75">
      <c r="A7" s="3058"/>
      <c r="B7" s="2996"/>
      <c r="C7" s="3063"/>
      <c r="D7" s="3081"/>
      <c r="E7" s="140" t="s">
        <v>2103</v>
      </c>
      <c r="F7" s="2431"/>
      <c r="G7" s="2431"/>
      <c r="H7" s="2431"/>
      <c r="I7" s="1834"/>
    </row>
    <row r="8" spans="1:12" ht="12.75">
      <c r="A8" s="3058" t="s">
        <v>2104</v>
      </c>
      <c r="B8" s="2996">
        <v>15</v>
      </c>
      <c r="C8" s="3061"/>
      <c r="D8" s="3081"/>
      <c r="E8" s="140" t="s">
        <v>2105</v>
      </c>
      <c r="F8" s="2431"/>
      <c r="G8" s="2431"/>
      <c r="H8" s="2431"/>
      <c r="I8" s="1834"/>
    </row>
    <row r="9" spans="1:12" ht="12.75">
      <c r="A9" s="3058"/>
      <c r="B9" s="2996"/>
      <c r="C9" s="3063"/>
      <c r="D9" s="3081"/>
      <c r="E9" s="140" t="s">
        <v>2106</v>
      </c>
      <c r="F9" s="2431"/>
      <c r="G9" s="2431"/>
      <c r="H9" s="2431"/>
      <c r="I9" s="1834"/>
    </row>
    <row r="10" spans="1:12" ht="12.75">
      <c r="A10" s="3058" t="s">
        <v>2107</v>
      </c>
      <c r="B10" s="2996">
        <v>15</v>
      </c>
      <c r="C10" s="3061"/>
      <c r="D10" s="3081"/>
      <c r="E10" s="140" t="s">
        <v>2108</v>
      </c>
      <c r="F10" s="2431"/>
      <c r="G10" s="2431"/>
      <c r="H10" s="2431"/>
      <c r="I10" s="1834"/>
    </row>
    <row r="11" spans="1:12" ht="12.75">
      <c r="A11" s="3058"/>
      <c r="B11" s="2996"/>
      <c r="C11" s="3063"/>
      <c r="D11" s="3081"/>
      <c r="E11" s="140" t="s">
        <v>2109</v>
      </c>
      <c r="F11" s="2431"/>
      <c r="G11" s="2431"/>
      <c r="H11" s="2431"/>
      <c r="I11" s="1834"/>
    </row>
    <row r="12" spans="1:12" ht="12.75">
      <c r="A12" s="3058" t="s">
        <v>2110</v>
      </c>
      <c r="B12" s="2996">
        <v>15</v>
      </c>
      <c r="C12" s="3061"/>
      <c r="D12" s="3081"/>
      <c r="E12" s="140" t="s">
        <v>2111</v>
      </c>
      <c r="F12" s="2431"/>
      <c r="G12" s="2431"/>
      <c r="H12" s="2431"/>
      <c r="I12" s="1834"/>
    </row>
    <row r="13" spans="1:12" ht="12.75">
      <c r="A13" s="3058"/>
      <c r="B13" s="2996"/>
      <c r="C13" s="3063"/>
      <c r="D13" s="3081"/>
      <c r="E13" s="140" t="s">
        <v>2112</v>
      </c>
      <c r="F13" s="2431"/>
      <c r="G13" s="2431"/>
      <c r="H13" s="2431"/>
      <c r="I13" s="1834"/>
    </row>
    <row r="14" spans="1:12" ht="12.75">
      <c r="A14" s="3058" t="s">
        <v>2113</v>
      </c>
      <c r="B14" s="2996">
        <v>30</v>
      </c>
      <c r="C14" s="3061">
        <v>3</v>
      </c>
      <c r="D14" s="3081">
        <v>7</v>
      </c>
      <c r="E14" s="140" t="s">
        <v>2114</v>
      </c>
      <c r="F14" s="2431"/>
      <c r="G14" s="2431"/>
      <c r="H14" s="2431"/>
      <c r="I14" s="1834"/>
    </row>
    <row r="15" spans="1:12" ht="12.75">
      <c r="A15" s="3058"/>
      <c r="B15" s="2996"/>
      <c r="C15" s="3062"/>
      <c r="D15" s="3081"/>
      <c r="E15" s="140" t="s">
        <v>2115</v>
      </c>
      <c r="F15" s="2431"/>
      <c r="G15" s="2431"/>
      <c r="H15" s="2431"/>
      <c r="I15" s="1834"/>
    </row>
    <row r="16" spans="1:12" ht="12.75">
      <c r="A16" s="3058"/>
      <c r="B16" s="2996"/>
      <c r="C16" s="3063"/>
      <c r="D16" s="3081"/>
      <c r="E16" s="140" t="s">
        <v>2116</v>
      </c>
      <c r="F16" s="2431"/>
      <c r="G16" s="2431"/>
      <c r="H16" s="2431"/>
      <c r="I16" s="1834"/>
    </row>
    <row r="17" spans="1:35" ht="15">
      <c r="A17" s="2432" t="s">
        <v>2117</v>
      </c>
      <c r="B17" s="64"/>
      <c r="C17" s="141">
        <f>SUM(C5:C16)</f>
        <v>3</v>
      </c>
      <c r="D17" s="141">
        <f>SUM(D5:D16)</f>
        <v>7</v>
      </c>
      <c r="E17" s="138"/>
      <c r="F17" s="138"/>
      <c r="G17" s="138"/>
      <c r="H17" s="138"/>
      <c r="I17" s="138"/>
      <c r="K17" s="2430"/>
      <c r="L17" s="2433" t="s">
        <v>2118</v>
      </c>
      <c r="M17" s="2433" t="s">
        <v>2119</v>
      </c>
    </row>
    <row r="18" spans="1:35" ht="15.75" thickBot="1">
      <c r="A18" s="2434" t="s">
        <v>2120</v>
      </c>
      <c r="B18" s="2435"/>
      <c r="C18" s="142">
        <f>ROUND(C17/SUM(C17:D17),2)</f>
        <v>0.3</v>
      </c>
      <c r="D18" s="142">
        <f>1-C18</f>
        <v>0.7</v>
      </c>
      <c r="E18" s="138"/>
      <c r="F18" s="138"/>
      <c r="G18" s="138"/>
      <c r="H18" s="138"/>
      <c r="I18" s="138"/>
      <c r="K18" s="2430" t="s">
        <v>2121</v>
      </c>
      <c r="L18" s="2430">
        <f>IF(C1="",'数据-汇总表'!E3,SUMIF(项目类型,C1,'数据-汇总表'!E17:E26)+SUMIF(项目类型,C1,'数据-汇总表'!I17:I26))</f>
        <v>16346.349999999999</v>
      </c>
      <c r="M18" s="2430">
        <f>IF(C1="",'数据-汇总表'!E3,SUMIF(项目类型,C1,'数据-汇总表'!E17:E26))</f>
        <v>16346.349999999999</v>
      </c>
    </row>
    <row r="19" spans="1:35" ht="15">
      <c r="A19" s="2436" t="s">
        <v>2122</v>
      </c>
      <c r="B19" s="2437" t="s">
        <v>2123</v>
      </c>
      <c r="C19" s="143">
        <f ca="1">SUMIF(INDIRECT("'"&amp;C4&amp;"'"&amp;"!A:A"),结果表!B19,INDIRECT("'"&amp;C4&amp;"'"&amp;"!B:B"))</f>
        <v>7531</v>
      </c>
      <c r="D19" s="144">
        <f ca="1">SUMIF(INDIRECT("'"&amp;D4&amp;"'"&amp;"!A:A"),结果表!B19,INDIRECT("'"&amp;D4&amp;"'"&amp;"!B:B"))</f>
        <v>11110</v>
      </c>
      <c r="E19" s="2436" t="s">
        <v>2124</v>
      </c>
      <c r="F19" s="2437" t="s">
        <v>2123</v>
      </c>
      <c r="G19" s="145">
        <f ca="1">ROUND(C19*$C$18+D19*$D$18,0)</f>
        <v>10036</v>
      </c>
      <c r="H19" s="2438" t="s">
        <v>2125</v>
      </c>
      <c r="I19" s="138"/>
      <c r="K19" s="2430" t="s">
        <v>2126</v>
      </c>
      <c r="L19" s="2430">
        <f>IF(C1="",'数据-汇总表'!D3,SUMIF(项目类型,C1,'数据-汇总表'!D17:D26)+SUMIF(项目类型,C1,'数据-汇总表'!H17:H27))</f>
        <v>13177.7</v>
      </c>
      <c r="M19" s="2430">
        <f>IF(C1="",'数据-汇总表'!D3,SUMIF(项目类型,C1,'数据-汇总表'!D17:D26))</f>
        <v>13177.7</v>
      </c>
    </row>
    <row r="20" spans="1:35" ht="15">
      <c r="A20" s="2439"/>
      <c r="B20" s="1250" t="s">
        <v>2127</v>
      </c>
      <c r="C20" s="146">
        <f ca="1">SUMIF(INDIRECT("'"&amp;C4&amp;"'"&amp;"!A:A"),结果表!B20,INDIRECT("'"&amp;C4&amp;"'"&amp;"!B:B"))</f>
        <v>4607</v>
      </c>
      <c r="D20" s="147">
        <f ca="1">SUMIF(INDIRECT("'"&amp;D4&amp;"'"&amp;"!A:A"),结果表!B20,INDIRECT("'"&amp;D4&amp;"'"&amp;"!B:B"))</f>
        <v>6797</v>
      </c>
      <c r="E20" s="2439"/>
      <c r="F20" s="1250" t="s">
        <v>2127</v>
      </c>
      <c r="G20" s="148">
        <f ca="1">ROUND(C20*$C$18+D20*$D$18,0)</f>
        <v>6140</v>
      </c>
      <c r="H20" s="983" t="s">
        <v>2128</v>
      </c>
      <c r="I20" s="138"/>
    </row>
    <row r="21" spans="1:35" ht="15" customHeight="1" thickBot="1">
      <c r="A21" s="1003"/>
      <c r="B21" s="2440" t="s">
        <v>2129</v>
      </c>
      <c r="C21" s="789">
        <f ca="1">ROUND(C19*10000/L19,0)</f>
        <v>5715</v>
      </c>
      <c r="D21" s="790">
        <f ca="1">ROUND(D19*10000/L19,0)</f>
        <v>8431</v>
      </c>
      <c r="E21" s="1003"/>
      <c r="F21" s="2440" t="s">
        <v>2129</v>
      </c>
      <c r="G21" s="149">
        <f ca="1">ROUND(G19*10000/L19,0)</f>
        <v>7616</v>
      </c>
      <c r="H21" s="2441" t="s">
        <v>2128</v>
      </c>
      <c r="I21" s="138"/>
    </row>
    <row r="22" spans="1:35" ht="15" thickBot="1">
      <c r="A22" s="2284" t="s">
        <v>2130</v>
      </c>
      <c r="B22" s="2442"/>
      <c r="C22" s="2443"/>
      <c r="D22" s="791">
        <f ca="1">IF(C19&lt;D19,D19/C19-1,C19/D19-1)</f>
        <v>0.47523569247111941</v>
      </c>
      <c r="E22" s="138"/>
      <c r="F22" s="138"/>
      <c r="G22" s="138"/>
      <c r="H22" s="138"/>
      <c r="I22" s="138"/>
    </row>
    <row r="23" spans="1:35" ht="13.5" thickBot="1">
      <c r="A23" s="2420"/>
      <c r="B23" s="2420"/>
      <c r="C23" s="2420"/>
      <c r="D23" s="2420"/>
      <c r="E23" s="138"/>
      <c r="F23" s="138"/>
      <c r="G23" s="138"/>
      <c r="H23" s="138"/>
      <c r="I23" s="138"/>
    </row>
    <row r="24" spans="1:35" ht="14.25">
      <c r="A24" s="3052" t="s">
        <v>2131</v>
      </c>
      <c r="B24" s="2437" t="s">
        <v>2123</v>
      </c>
      <c r="C24" s="145">
        <f>IF(B30=0,0,D30)</f>
        <v>0</v>
      </c>
      <c r="D24" s="2444"/>
      <c r="E24" s="138"/>
      <c r="F24" s="138"/>
      <c r="G24" s="138"/>
      <c r="H24" s="138"/>
      <c r="I24" s="138"/>
    </row>
    <row r="25" spans="1:35" ht="14.25">
      <c r="A25" s="3053"/>
      <c r="B25" s="1250" t="s">
        <v>2127</v>
      </c>
      <c r="C25" s="150">
        <f>IF(B30=0,0,C30)</f>
        <v>0</v>
      </c>
      <c r="D25" s="2445"/>
      <c r="E25" s="138"/>
      <c r="F25" s="138"/>
      <c r="G25" s="138"/>
      <c r="H25" s="138"/>
      <c r="I25" s="138"/>
    </row>
    <row r="26" spans="1:35" ht="13.5" customHeight="1">
      <c r="A26" s="2446" t="s">
        <v>2132</v>
      </c>
      <c r="B26" s="151" t="s">
        <v>2133</v>
      </c>
      <c r="C26" s="151" t="s">
        <v>2134</v>
      </c>
      <c r="D26" s="152" t="s">
        <v>2135</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2136</v>
      </c>
      <c r="B30" s="151"/>
      <c r="C30" s="151"/>
      <c r="D30" s="151"/>
      <c r="E30" s="2929" t="s">
        <v>3011</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2137</v>
      </c>
      <c r="B32" s="2450"/>
      <c r="C32" s="153">
        <f ca="1">IF(D32="总价",G19-C24,G20-C25)</f>
        <v>10036</v>
      </c>
      <c r="D32" s="2451" t="s">
        <v>2138</v>
      </c>
      <c r="E32" s="138"/>
      <c r="F32" s="138"/>
      <c r="G32" s="138"/>
      <c r="H32" s="138"/>
      <c r="I32" s="138"/>
    </row>
    <row r="33" spans="1:15" ht="15">
      <c r="A33" s="960" t="s">
        <v>2139</v>
      </c>
      <c r="B33" s="2452"/>
      <c r="C33" s="2453" t="s">
        <v>3074</v>
      </c>
      <c r="D33" s="2454" t="s">
        <v>3073</v>
      </c>
      <c r="E33" s="2455" t="s">
        <v>2140</v>
      </c>
      <c r="F33" s="2456" t="str">
        <f>IF(D32="楼面单价","取值（单价）","取值（总价）")</f>
        <v>取值（总价）</v>
      </c>
      <c r="G33" s="138"/>
      <c r="H33" s="138"/>
      <c r="I33" s="138"/>
    </row>
    <row r="34" spans="1:15" ht="15">
      <c r="A34" s="2457"/>
      <c r="B34" s="2458" t="s">
        <v>2141</v>
      </c>
      <c r="C34" s="157">
        <f ca="1">IF(C33="自定义",F34,C32-C35)</f>
        <v>2910</v>
      </c>
      <c r="D34" s="1058">
        <f ca="1">IF(C33="自定义",ROUND(C34/C32,3),IF(C33="收益比率",SUMIF(INDIRECT("'"&amp;D33&amp;"'"&amp;"!b:b"),"土地收益比率",INDIRECT("'"&amp;D33&amp;"'"&amp;"!c:c")),SUMIF(INDIRECT("'"&amp;D33&amp;"'"&amp;"!b:b"),"土地成本比率",INDIRECT("'"&amp;D33&amp;"'"&amp;"!c:c"))))</f>
        <v>0.29000000000000004</v>
      </c>
      <c r="E34" s="2459" t="s">
        <v>2142</v>
      </c>
      <c r="F34" s="1739"/>
      <c r="G34" s="138"/>
      <c r="H34" s="138"/>
      <c r="I34" s="138"/>
    </row>
    <row r="35" spans="1:15" ht="15.75" thickBot="1">
      <c r="A35" s="2460"/>
      <c r="B35" s="2461" t="s">
        <v>2143</v>
      </c>
      <c r="C35" s="1444">
        <f ca="1">IF(C33="自定义",F35,ROUND(C32*D35,0))</f>
        <v>7126</v>
      </c>
      <c r="D35" s="1445">
        <f ca="1">IF(C33="自定义",ROUND(C35/C32,3),IF(C33="收益比率",SUMIF(INDIRECT("'"&amp;D33&amp;"'"&amp;"!b:b"),"建筑物收益比率",INDIRECT("'"&amp;D33&amp;"'"&amp;"!c:c")),SUMIF(INDIRECT("'"&amp;D33&amp;"'"&amp;"!b:b"),"建筑物成本比率",INDIRECT("'"&amp;D33&amp;"'"&amp;"!c:c"))))</f>
        <v>0.71</v>
      </c>
      <c r="E35" s="2462" t="s">
        <v>2144</v>
      </c>
      <c r="F35" s="163"/>
      <c r="G35" s="138"/>
      <c r="H35" s="138"/>
      <c r="I35" s="138"/>
    </row>
    <row r="36" spans="1:15" ht="15.75" thickBot="1">
      <c r="A36" s="3070" t="s">
        <v>2145</v>
      </c>
      <c r="B36" s="2463" t="s">
        <v>2146</v>
      </c>
      <c r="C36" s="154"/>
      <c r="D36" s="2464"/>
      <c r="E36" s="2465"/>
      <c r="F36" s="2466"/>
      <c r="G36" s="138"/>
      <c r="H36" s="138"/>
      <c r="I36" s="138"/>
    </row>
    <row r="37" spans="1:15" ht="15.75" thickBot="1">
      <c r="A37" s="3071"/>
      <c r="B37" s="2270" t="s">
        <v>2147</v>
      </c>
      <c r="C37" s="156"/>
      <c r="D37" s="1395"/>
      <c r="E37" s="1395"/>
      <c r="F37" s="2466"/>
      <c r="G37" s="138"/>
      <c r="H37" s="138"/>
      <c r="I37" s="138"/>
    </row>
    <row r="38" spans="1:15" ht="15.75" thickBot="1">
      <c r="A38" s="3072"/>
      <c r="B38" s="2467" t="s">
        <v>2148</v>
      </c>
      <c r="C38" s="727"/>
      <c r="D38" s="2468" t="s">
        <v>2149</v>
      </c>
      <c r="E38" s="1395"/>
      <c r="F38" s="2466"/>
      <c r="G38" s="138"/>
      <c r="H38" s="138"/>
      <c r="I38" s="138"/>
    </row>
    <row r="39" spans="1:15" ht="15">
      <c r="A39" s="2439" t="s">
        <v>2150</v>
      </c>
      <c r="B39" s="2469" t="s">
        <v>2151</v>
      </c>
      <c r="C39" s="2470" t="s">
        <v>2152</v>
      </c>
      <c r="D39" s="2470" t="s">
        <v>2153</v>
      </c>
      <c r="E39" s="2471" t="s">
        <v>2154</v>
      </c>
      <c r="F39" s="2466"/>
      <c r="G39" s="138"/>
      <c r="H39" s="138"/>
      <c r="I39" s="138"/>
    </row>
    <row r="40" spans="1:15" ht="14.25">
      <c r="A40" s="2472" t="s">
        <v>2155</v>
      </c>
      <c r="B40" s="158">
        <f>'数据-汇总表'!F19-10542.16</f>
        <v>5804.1899999999987</v>
      </c>
      <c r="C40" s="159">
        <v>94</v>
      </c>
      <c r="D40" s="159">
        <v>1.0305</v>
      </c>
      <c r="E40" s="160">
        <f>ROUND(B40*C40*D40/10000,0)</f>
        <v>56</v>
      </c>
      <c r="F40" s="2466"/>
      <c r="G40" s="138"/>
      <c r="H40" s="138"/>
      <c r="I40" s="138"/>
    </row>
    <row r="41" spans="1:15" ht="14.25">
      <c r="A41" s="2472" t="s">
        <v>2156</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8"/>
      <c r="B43" s="2168"/>
      <c r="C43" s="2168"/>
      <c r="D43" s="2168"/>
      <c r="E43" s="2168"/>
      <c r="F43" s="2474"/>
      <c r="G43" s="2474"/>
      <c r="H43" s="2474"/>
      <c r="I43" s="2475"/>
    </row>
    <row r="44" spans="1:15" ht="18.75">
      <c r="A44" s="2476" t="s">
        <v>2157</v>
      </c>
      <c r="B44" s="2477"/>
      <c r="C44" s="2477"/>
      <c r="D44" s="2478"/>
      <c r="E44" s="2478"/>
      <c r="F44" s="2479"/>
      <c r="G44" s="2479"/>
      <c r="H44" s="2479"/>
      <c r="I44" s="2479"/>
      <c r="J44" s="2480" t="s">
        <v>2158</v>
      </c>
      <c r="K44" s="2481"/>
      <c r="L44" s="2481"/>
      <c r="M44" s="2481"/>
      <c r="N44" s="2481"/>
      <c r="O44" s="2481"/>
    </row>
    <row r="45" spans="1:15" ht="14.25" customHeight="1" thickBot="1">
      <c r="A45" s="3049" t="s">
        <v>2159</v>
      </c>
      <c r="B45" s="3050"/>
      <c r="C45" s="3051"/>
      <c r="D45" s="164">
        <f ca="1">ROUND(H101*F45,0)</f>
        <v>10036</v>
      </c>
      <c r="E45" s="165" t="s">
        <v>2160</v>
      </c>
      <c r="F45" s="166">
        <v>1</v>
      </c>
      <c r="G45" s="167" t="s">
        <v>2161</v>
      </c>
      <c r="H45" s="138"/>
      <c r="I45" s="138"/>
      <c r="J45" s="3109" t="s">
        <v>2162</v>
      </c>
      <c r="K45" s="3109"/>
      <c r="L45" s="3109"/>
      <c r="M45" s="3109"/>
      <c r="N45" s="3109"/>
      <c r="O45" s="3109"/>
    </row>
    <row r="46" spans="1:15" ht="14.25" customHeight="1">
      <c r="A46" s="3046" t="s">
        <v>2163</v>
      </c>
      <c r="B46" s="3047"/>
      <c r="C46" s="3047"/>
      <c r="D46" s="3047"/>
      <c r="E46" s="3047"/>
      <c r="F46" s="3047"/>
      <c r="G46" s="3048"/>
      <c r="H46" s="2482"/>
      <c r="I46" s="168"/>
      <c r="J46" s="1812">
        <v>1</v>
      </c>
      <c r="K46" s="3109" t="s">
        <v>2164</v>
      </c>
      <c r="L46" s="3109"/>
      <c r="M46" s="3129"/>
      <c r="N46" s="3129"/>
      <c r="O46" s="3129"/>
    </row>
    <row r="47" spans="1:15" ht="12" customHeight="1">
      <c r="A47" s="169" t="s">
        <v>2165</v>
      </c>
      <c r="B47" s="170"/>
      <c r="C47" s="171"/>
      <c r="D47" s="172" t="s">
        <v>2166</v>
      </c>
      <c r="E47" s="24" t="s">
        <v>2167</v>
      </c>
      <c r="F47" s="173" t="s">
        <v>2168</v>
      </c>
      <c r="G47" s="174" t="s">
        <v>2169</v>
      </c>
      <c r="H47" s="2482"/>
      <c r="I47" s="168"/>
      <c r="J47" s="1812">
        <v>2</v>
      </c>
      <c r="K47" s="3109" t="s">
        <v>2170</v>
      </c>
      <c r="L47" s="3109"/>
      <c r="M47" s="3130">
        <f>'数据-取费表'!B2</f>
        <v>43200</v>
      </c>
      <c r="N47" s="3130"/>
      <c r="O47" s="3130"/>
    </row>
    <row r="48" spans="1:15" ht="25.5">
      <c r="A48" s="3077" t="s">
        <v>2171</v>
      </c>
      <c r="B48" s="3060"/>
      <c r="C48" s="3060"/>
      <c r="D48" s="140">
        <f>IF(H48="情况1",0,IF(H48="情况2",D52,IF(H48="情况3",D53,IF(H48="情况4",D54))))</f>
        <v>0</v>
      </c>
      <c r="E48" s="1801" t="str">
        <f>IF(H48="情况4","(销售额-原购置价)×税（费）率","销售额×税（费）率")</f>
        <v>销售额×税（费）率</v>
      </c>
      <c r="F48" s="175" t="str">
        <f>IF(H48="情况1","免征",'数据-取费表'!B41)</f>
        <v>免征</v>
      </c>
      <c r="G48" s="2483" t="s">
        <v>2172</v>
      </c>
      <c r="H48" s="2484" t="s">
        <v>2173</v>
      </c>
      <c r="I48" s="2482"/>
      <c r="J48" s="1812">
        <v>3</v>
      </c>
      <c r="K48" s="3109" t="s">
        <v>2174</v>
      </c>
      <c r="L48" s="3109"/>
      <c r="M48" s="3131">
        <f ca="1">H101</f>
        <v>10036</v>
      </c>
      <c r="N48" s="3131"/>
      <c r="O48" s="3131"/>
    </row>
    <row r="49" spans="1:35" ht="25.5" customHeight="1">
      <c r="A49" s="176" t="s">
        <v>2175</v>
      </c>
      <c r="B49" s="3045" t="s">
        <v>2176</v>
      </c>
      <c r="C49" s="3045"/>
      <c r="D49" s="177">
        <v>0</v>
      </c>
      <c r="E49" s="23" t="s">
        <v>2177</v>
      </c>
      <c r="F49" s="28" t="s">
        <v>33</v>
      </c>
      <c r="G49" s="3115"/>
      <c r="H49" s="138"/>
      <c r="I49" s="2485"/>
      <c r="J49" s="1812">
        <v>4</v>
      </c>
      <c r="K49" s="3109" t="str">
        <f>IF(项目基本情况!E8="房地产抵押价值","房地产抵押价值","抵押担保权已注销时的房地产抵押价值")</f>
        <v>房地产抵押价值</v>
      </c>
      <c r="L49" s="3109"/>
      <c r="M49" s="3131">
        <f ca="1">IF(项目基本情况!E8="房地产抵押价值",H107,H109)</f>
        <v>10036</v>
      </c>
      <c r="N49" s="3131"/>
      <c r="O49" s="3131"/>
    </row>
    <row r="50" spans="1:35" ht="25.5" customHeight="1">
      <c r="A50" s="178"/>
      <c r="B50" s="3045" t="s">
        <v>2178</v>
      </c>
      <c r="C50" s="3045"/>
      <c r="D50" s="179"/>
      <c r="E50" s="31"/>
      <c r="F50" s="180"/>
      <c r="G50" s="3116"/>
      <c r="H50" s="138"/>
      <c r="I50" s="2485"/>
      <c r="J50" s="3109" t="s">
        <v>2179</v>
      </c>
      <c r="K50" s="3109"/>
      <c r="L50" s="3109"/>
      <c r="M50" s="3109"/>
      <c r="N50" s="3109"/>
      <c r="O50" s="3109"/>
    </row>
    <row r="51" spans="1:35" ht="12" customHeight="1">
      <c r="A51" s="181"/>
      <c r="B51" s="3045" t="s">
        <v>2180</v>
      </c>
      <c r="C51" s="3045"/>
      <c r="D51" s="182"/>
      <c r="E51" s="30"/>
      <c r="F51" s="180"/>
      <c r="G51" s="3117"/>
      <c r="H51" s="138"/>
      <c r="I51" s="2485"/>
      <c r="J51" s="2486" t="s">
        <v>2181</v>
      </c>
      <c r="K51" s="3109" t="s">
        <v>2182</v>
      </c>
      <c r="L51" s="3109"/>
      <c r="M51" s="2486" t="s">
        <v>2183</v>
      </c>
      <c r="N51" s="2486" t="s">
        <v>2184</v>
      </c>
      <c r="O51" s="2486" t="s">
        <v>2185</v>
      </c>
    </row>
    <row r="52" spans="1:35" ht="24" customHeight="1">
      <c r="A52" s="183" t="s">
        <v>2186</v>
      </c>
      <c r="B52" s="3045" t="s">
        <v>2187</v>
      </c>
      <c r="C52" s="3045"/>
      <c r="D52" s="182">
        <f ca="1">ROUND(D45*'数据-取费表'!B41/(1+'数据-取费表'!C42),0)</f>
        <v>526</v>
      </c>
      <c r="E52" s="11" t="s">
        <v>2188</v>
      </c>
      <c r="F52" s="184">
        <f>'数据-取费表'!B41</f>
        <v>5.5000000000000007E-2</v>
      </c>
      <c r="G52" s="2487"/>
      <c r="H52" s="138"/>
      <c r="I52" s="2485"/>
      <c r="J52" s="1812">
        <v>1</v>
      </c>
      <c r="K52" s="3110" t="s">
        <v>2189</v>
      </c>
      <c r="L52" s="3110"/>
      <c r="M52" s="1754">
        <f>D48</f>
        <v>0</v>
      </c>
      <c r="N52" s="1812" t="str">
        <f>E48</f>
        <v>销售额×税（费）率</v>
      </c>
      <c r="O52" s="1755" t="str">
        <f>F48</f>
        <v>免征</v>
      </c>
    </row>
    <row r="53" spans="1:35" ht="12" customHeight="1">
      <c r="A53" s="183" t="s">
        <v>2190</v>
      </c>
      <c r="B53" s="3068" t="s">
        <v>2191</v>
      </c>
      <c r="C53" s="3069"/>
      <c r="D53" s="182">
        <f ca="1">ROUND(D45*'数据-取费表'!B41/(1+'数据-取费表'!C42),0)</f>
        <v>526</v>
      </c>
      <c r="E53" s="11" t="s">
        <v>2188</v>
      </c>
      <c r="F53" s="184">
        <f>'数据-取费表'!B41</f>
        <v>5.5000000000000007E-2</v>
      </c>
      <c r="G53" s="2487"/>
      <c r="H53" s="138"/>
      <c r="I53" s="2485"/>
      <c r="J53" s="1812">
        <v>2</v>
      </c>
      <c r="K53" s="3110" t="s">
        <v>2192</v>
      </c>
      <c r="L53" s="3110"/>
      <c r="M53" s="1754">
        <f t="shared" ref="M53:O54" ca="1" si="0">D55</f>
        <v>5</v>
      </c>
      <c r="N53" s="1812" t="str">
        <f t="shared" si="0"/>
        <v>销售额×税（费）率</v>
      </c>
      <c r="O53" s="1755">
        <f t="shared" si="0"/>
        <v>5.0000000000000001E-4</v>
      </c>
    </row>
    <row r="54" spans="1:35" ht="12" customHeight="1">
      <c r="A54" s="183" t="s">
        <v>2193</v>
      </c>
      <c r="B54" s="3068" t="s">
        <v>2194</v>
      </c>
      <c r="C54" s="3069"/>
      <c r="D54" s="182">
        <f ca="1">C68</f>
        <v>526</v>
      </c>
      <c r="E54" s="30" t="s">
        <v>2195</v>
      </c>
      <c r="F54" s="184">
        <f>'数据-取费表'!B41</f>
        <v>5.5000000000000007E-2</v>
      </c>
      <c r="G54" s="2487"/>
      <c r="H54" s="2488"/>
      <c r="I54" s="2485"/>
      <c r="J54" s="1812">
        <v>3</v>
      </c>
      <c r="K54" s="3110" t="s">
        <v>2196</v>
      </c>
      <c r="L54" s="3110"/>
      <c r="M54" s="1754">
        <f t="shared" ca="1" si="0"/>
        <v>5689</v>
      </c>
      <c r="N54" s="1812" t="str">
        <f t="shared" si="0"/>
        <v>增值额×税（费）率</v>
      </c>
      <c r="O54" s="1756" t="str">
        <f t="shared" si="0"/>
        <v>——</v>
      </c>
    </row>
    <row r="55" spans="1:35" ht="24" customHeight="1">
      <c r="A55" s="3059" t="s">
        <v>2197</v>
      </c>
      <c r="B55" s="3060"/>
      <c r="C55" s="3060"/>
      <c r="D55" s="185">
        <f ca="1">IF(H55="个人住宅",0,ROUND(D45*I55,0))</f>
        <v>5</v>
      </c>
      <c r="E55" s="11" t="s">
        <v>2198</v>
      </c>
      <c r="F55" s="184">
        <f>IF(H55="正常",I55,"免征")</f>
        <v>5.0000000000000001E-4</v>
      </c>
      <c r="G55" s="2487"/>
      <c r="H55" s="2484" t="s">
        <v>2199</v>
      </c>
      <c r="I55" s="186">
        <f>'数据-取费表'!B49</f>
        <v>5.0000000000000001E-4</v>
      </c>
      <c r="J55" s="1812" t="str">
        <f>IF(H59="非个人房产","",4)</f>
        <v/>
      </c>
      <c r="K55" s="3110" t="str">
        <f>IF(H59="非个人房产","——","个人所得税")</f>
        <v>——</v>
      </c>
      <c r="L55" s="3110"/>
      <c r="M55" s="1757" t="str">
        <f>D59</f>
        <v>——</v>
      </c>
      <c r="N55" s="1810" t="str">
        <f>E59</f>
        <v>——</v>
      </c>
      <c r="O55" s="1758" t="str">
        <f>F59</f>
        <v>——</v>
      </c>
    </row>
    <row r="56" spans="1:35" ht="24.75">
      <c r="A56" s="3059" t="s">
        <v>2200</v>
      </c>
      <c r="B56" s="3060"/>
      <c r="C56" s="3060"/>
      <c r="D56" s="185">
        <f ca="1">IF(H56="个人住宅",D57,D58)</f>
        <v>5689</v>
      </c>
      <c r="E56" s="11" t="s">
        <v>2201</v>
      </c>
      <c r="F56" s="184" t="str">
        <f>IF(H56="正常",F58,"免征")</f>
        <v>——</v>
      </c>
      <c r="G56" s="2489" t="s">
        <v>2202</v>
      </c>
      <c r="H56" s="2490" t="s">
        <v>2199</v>
      </c>
      <c r="I56" s="2491"/>
      <c r="J56" s="1812" t="str">
        <f>IF(项目基本情况!K6="上海银行",IF(J55="",4,J55+1),"")</f>
        <v/>
      </c>
      <c r="K56" s="3133" t="str">
        <f>IF(项目基本情况!K6="上海银行","其他处置费用","")</f>
        <v/>
      </c>
      <c r="L56" s="3134"/>
      <c r="M56" s="1754" t="str">
        <f>IF(项目基本情况!K6="上海银行",M69,"")</f>
        <v/>
      </c>
      <c r="N56" s="3136" t="str">
        <f>IF(项目基本情况!K6="上海银行","包含处置中涉及的律师、诉讼、拍卖、评估等费用","")</f>
        <v/>
      </c>
      <c r="O56" s="3137"/>
    </row>
    <row r="57" spans="1:35" ht="12.75">
      <c r="A57" s="183" t="s">
        <v>2175</v>
      </c>
      <c r="B57" s="3075" t="s">
        <v>2203</v>
      </c>
      <c r="C57" s="3084"/>
      <c r="D57" s="187">
        <v>0</v>
      </c>
      <c r="E57" s="23" t="s">
        <v>2177</v>
      </c>
      <c r="F57" s="155"/>
      <c r="G57" s="2487"/>
      <c r="H57" s="2491"/>
      <c r="I57" s="2491"/>
      <c r="J57" s="3110">
        <f>IF(AND(J55="",J56=""),4,IF(项目基本情况!K6="上海银行",结果表!J56+1,结果表!J55+1))</f>
        <v>4</v>
      </c>
      <c r="K57" s="3110" t="s">
        <v>2204</v>
      </c>
      <c r="L57" s="2492" t="s">
        <v>2205</v>
      </c>
      <c r="M57" s="1759"/>
      <c r="N57" s="1760">
        <f ca="1">SUMIF(M52:M56,"&lt;9e307")</f>
        <v>5694</v>
      </c>
      <c r="O57" s="2493"/>
      <c r="P57" s="1753">
        <f ca="1">N57/M49</f>
        <v>0.56735751295336789</v>
      </c>
    </row>
    <row r="58" spans="1:35" ht="24.75">
      <c r="A58" s="183" t="s">
        <v>2186</v>
      </c>
      <c r="B58" s="3075" t="s">
        <v>2206</v>
      </c>
      <c r="C58" s="3076"/>
      <c r="D58" s="185">
        <f ca="1">IF(H58="转让取得",C81,C97)</f>
        <v>5689</v>
      </c>
      <c r="E58" s="11" t="s">
        <v>2201</v>
      </c>
      <c r="F58" s="24" t="s">
        <v>33</v>
      </c>
      <c r="G58" s="2487"/>
      <c r="H58" s="2490" t="s">
        <v>2207</v>
      </c>
      <c r="I58" s="2491"/>
      <c r="J58" s="3110"/>
      <c r="K58" s="3110"/>
      <c r="L58" s="2492" t="s">
        <v>2208</v>
      </c>
      <c r="M58" s="1761"/>
      <c r="N58" s="2494" t="str">
        <f ca="1">NUMBERSTRING(INT(N57*10000),2)&amp;"元整"</f>
        <v>伍仟陆佰玖拾肆万元整</v>
      </c>
      <c r="O58" s="2495"/>
    </row>
    <row r="59" spans="1:35" ht="24.75" thickBot="1">
      <c r="A59" s="3113" t="s">
        <v>2209</v>
      </c>
      <c r="B59" s="3114"/>
      <c r="C59" s="3114"/>
      <c r="D59" s="188" t="str">
        <f>IF(H59="非个人房产","——",IF(H59="个人住宅",0,ROUND(D45*I59,0)))</f>
        <v>——</v>
      </c>
      <c r="E59" s="189" t="str">
        <f>IF(H59="非个人房产","——","销售额×税（费）率")</f>
        <v>——</v>
      </c>
      <c r="F59" s="190" t="str">
        <f>IF(H59="非个人房产","——",IF(H59="个人住宅","免征",I59))</f>
        <v>——</v>
      </c>
      <c r="G59" s="2496" t="s">
        <v>2202</v>
      </c>
      <c r="H59" s="2490" t="s">
        <v>2210</v>
      </c>
      <c r="I59" s="191">
        <v>0.01</v>
      </c>
      <c r="J59" s="3111">
        <f>J57+1</f>
        <v>5</v>
      </c>
      <c r="K59" s="3110" t="s">
        <v>2211</v>
      </c>
      <c r="L59" s="1812" t="s">
        <v>2205</v>
      </c>
      <c r="M59" s="1762"/>
      <c r="N59" s="1763">
        <f ca="1">M49-N57</f>
        <v>4342</v>
      </c>
      <c r="O59" s="2497"/>
    </row>
    <row r="60" spans="1:35" ht="12" customHeight="1">
      <c r="A60" s="2498"/>
      <c r="B60" s="2420"/>
      <c r="C60" s="2420"/>
      <c r="D60" s="2420"/>
      <c r="E60" s="2169"/>
      <c r="F60" s="2491"/>
      <c r="G60" s="2491"/>
      <c r="H60" s="2499"/>
      <c r="I60" s="138"/>
      <c r="J60" s="3112"/>
      <c r="K60" s="3110"/>
      <c r="L60" s="2492" t="s">
        <v>2208</v>
      </c>
      <c r="M60" s="1761"/>
      <c r="N60" s="2494" t="str">
        <f ca="1">NUMBERSTRING(INT(N59*10000),2)&amp;"元整"</f>
        <v>肆仟叁佰肆拾贰万元整</v>
      </c>
      <c r="O60" s="2495"/>
    </row>
    <row r="61" spans="1:35" ht="13.5" thickBot="1">
      <c r="A61" s="3057" t="s">
        <v>2212</v>
      </c>
      <c r="B61" s="3057"/>
      <c r="C61" s="3057"/>
      <c r="D61" s="3057"/>
      <c r="E61" s="3057"/>
      <c r="F61" s="2491"/>
      <c r="G61" s="2491"/>
      <c r="H61" s="2499"/>
      <c r="I61" s="138"/>
      <c r="J61" s="1812">
        <f>J59+1</f>
        <v>6</v>
      </c>
      <c r="K61" s="3110" t="s">
        <v>2213</v>
      </c>
      <c r="L61" s="3110"/>
      <c r="M61" s="1764"/>
      <c r="N61" s="1765">
        <f ca="1">ROUND(N59*10000/'数据-汇总表'!E3,0)</f>
        <v>2656</v>
      </c>
      <c r="O61" s="2500"/>
    </row>
    <row r="62" spans="1:35" ht="12.75">
      <c r="A62" s="3073" t="s">
        <v>2214</v>
      </c>
      <c r="B62" s="3074"/>
      <c r="C62" s="1804"/>
      <c r="D62" s="1804" t="s">
        <v>2215</v>
      </c>
      <c r="E62" s="192" t="s">
        <v>2216</v>
      </c>
      <c r="F62" s="2491"/>
      <c r="G62" s="2491"/>
      <c r="H62" s="2499"/>
      <c r="I62" s="138"/>
    </row>
    <row r="63" spans="1:35" ht="12.75">
      <c r="A63" s="203" t="s">
        <v>774</v>
      </c>
      <c r="B63" s="193" t="s">
        <v>2217</v>
      </c>
      <c r="C63" s="194">
        <f ca="1">ROUND((C64+C65)/(1+'数据-取费表'!C42),0)</f>
        <v>9558</v>
      </c>
      <c r="D63" s="195"/>
      <c r="E63" s="196"/>
      <c r="F63" s="2491"/>
      <c r="G63" s="2491"/>
      <c r="H63" s="2499"/>
      <c r="I63" s="138"/>
      <c r="J63" s="3135" t="s">
        <v>2218</v>
      </c>
      <c r="K63" s="2501" t="s">
        <v>2219</v>
      </c>
      <c r="L63" s="1752">
        <f ca="1">IF(M49&gt;10000,M49*0.5%,IF(AND(M49&gt;1000,M49&lt;=10000),M49*1%,IF(AND(M49&gt;100,M49&lt;=1000),M49*3%,IF(AND(M49&gt;10,M49&lt;=100),M49*5%,M49*8%))))</f>
        <v>50.18</v>
      </c>
      <c r="M63" s="24">
        <f ca="1">ROUND(L63,1)</f>
        <v>50.2</v>
      </c>
      <c r="Z63" s="2425"/>
      <c r="AI63" s="2426"/>
    </row>
    <row r="64" spans="1:35" ht="14.25" customHeight="1">
      <c r="A64" s="197" t="s">
        <v>769</v>
      </c>
      <c r="B64" s="198" t="s">
        <v>2220</v>
      </c>
      <c r="C64" s="199">
        <f ca="1">D45</f>
        <v>10036</v>
      </c>
      <c r="D64" s="200" t="s">
        <v>31</v>
      </c>
      <c r="E64" s="201"/>
      <c r="F64" s="2491"/>
      <c r="G64" s="2491"/>
      <c r="H64" s="2499"/>
      <c r="I64" s="138"/>
      <c r="J64" s="3135"/>
      <c r="K64" s="2501" t="s">
        <v>2221</v>
      </c>
      <c r="L64" s="1752">
        <f ca="1">IF(M49&gt;2000,M49*0.5%,IF(AND(M49&gt;1000,M49&lt;=2000),M49*0.6%,IF(AND(M49&gt;500,M49&lt;=1000),M49*0.7%,IF(AND(M49&gt;200,M49&lt;=500),M49*0.8%,IF(AND(M49&gt;100,M49&lt;=200),M49*0.9%,IF(AND(M49&gt;50,M49&lt;=100),M49*1%,IF(AND(M49&gt;20,M49&lt;=50),M49*1.5%,IF(AND(M49&gt;10,M49&lt;=20),M49*2%,IF(AND(M49&gt;1,M49&lt;=10),M49*2.5%)))))))))</f>
        <v>50.18</v>
      </c>
      <c r="M64" s="24">
        <f t="shared" ref="M64:M65" ca="1" si="1">ROUND(L64,1)</f>
        <v>50.2</v>
      </c>
      <c r="N64" s="138" t="s">
        <v>2222</v>
      </c>
      <c r="Z64" s="2425"/>
      <c r="AI64" s="2426"/>
    </row>
    <row r="65" spans="1:35" ht="14.25" customHeight="1">
      <c r="A65" s="197" t="s">
        <v>770</v>
      </c>
      <c r="B65" s="198" t="s">
        <v>2223</v>
      </c>
      <c r="C65" s="202"/>
      <c r="D65" s="200"/>
      <c r="E65" s="201"/>
      <c r="F65" s="2491"/>
      <c r="G65" s="2491"/>
      <c r="H65" s="2499"/>
      <c r="I65" s="138"/>
      <c r="J65" s="3135"/>
      <c r="K65" s="2501" t="s">
        <v>2224</v>
      </c>
      <c r="L65" s="1752">
        <f ca="1">IF(M49&gt;1000,M49*0.1%,IF(AND(M49&gt;500,M49&lt;=1000),M49*0.5%,IF(AND(M49&gt;50,M49&lt;=500),M49*1%,IF(AND(M49&gt;1,M49&lt;=50),M49*1.5%))))</f>
        <v>10.036</v>
      </c>
      <c r="M65" s="24">
        <f t="shared" ca="1" si="1"/>
        <v>10</v>
      </c>
      <c r="N65" s="138" t="s">
        <v>2222</v>
      </c>
      <c r="Z65" s="2425"/>
      <c r="AI65" s="2426"/>
    </row>
    <row r="66" spans="1:35" ht="14.25" customHeight="1">
      <c r="A66" s="203" t="s">
        <v>771</v>
      </c>
      <c r="B66" s="204" t="s">
        <v>2225</v>
      </c>
      <c r="C66" s="205"/>
      <c r="D66" s="206" t="s">
        <v>31</v>
      </c>
      <c r="E66" s="1776" t="s">
        <v>1370</v>
      </c>
      <c r="F66" s="2491"/>
      <c r="G66" s="2491"/>
      <c r="H66" s="2499"/>
      <c r="I66" s="138"/>
      <c r="J66" s="3135"/>
      <c r="K66" s="2501" t="s">
        <v>2226</v>
      </c>
      <c r="L66" s="1752">
        <f ca="1">M49*0.5%</f>
        <v>50.18</v>
      </c>
      <c r="M66" s="24">
        <f ca="1">IF(L66&gt;0.5,0.5,ROUND(L66,0))</f>
        <v>0.5</v>
      </c>
      <c r="N66" s="138" t="s">
        <v>2227</v>
      </c>
      <c r="Z66" s="2425"/>
      <c r="AI66" s="2426"/>
    </row>
    <row r="67" spans="1:35" ht="14.25" customHeight="1">
      <c r="A67" s="203" t="s">
        <v>772</v>
      </c>
      <c r="B67" s="204" t="s">
        <v>2228</v>
      </c>
      <c r="C67" s="207">
        <f ca="1">C63-C66</f>
        <v>9558</v>
      </c>
      <c r="D67" s="200" t="s">
        <v>31</v>
      </c>
      <c r="E67" s="201"/>
      <c r="F67" s="2491"/>
      <c r="G67" s="2491"/>
      <c r="H67" s="2499"/>
      <c r="I67" s="138"/>
      <c r="J67" s="3135"/>
      <c r="K67" s="2501" t="s">
        <v>2229</v>
      </c>
      <c r="L67" s="1752">
        <f ca="1">IF(M49&gt;=10000,(8.25+(M49-10000)*0.01%),IF(AND(M49&gt;=8000,M49&lt;10000),(7.85+(M49-8000)*0.02%),IF(AND(M49&gt;=5000,M49&lt;8000),(6.65+(M49-5000)*0.04%),IF(AND(M49&gt;=2000,M49&lt;5000),(4.25+(PM49-2000)*0.08%),IF(AND(M49&gt;=1000,M49&lt;2000),(2.75+(M49-1000)*0.15%),IF(AND(M49&gt;=100,M49&lt;1000),(0.5+(M49-100)*0.25%),IF(AND(M49&gt;0,M49&lt;100),M49*0.5%)))))))</f>
        <v>8.2536000000000005</v>
      </c>
      <c r="M67" s="24">
        <f ca="1">ROUND(L67*0.9,1)</f>
        <v>7.4</v>
      </c>
      <c r="Z67" s="2425"/>
      <c r="AI67" s="2426"/>
    </row>
    <row r="68" spans="1:35" ht="14.25" customHeight="1" thickBot="1">
      <c r="A68" s="208" t="s">
        <v>773</v>
      </c>
      <c r="B68" s="209" t="s">
        <v>2230</v>
      </c>
      <c r="C68" s="210">
        <f ca="1">IF(C67&lt;=0,0,ROUND(C67*D68,0))</f>
        <v>526</v>
      </c>
      <c r="D68" s="211">
        <f>'数据-取费表'!B41</f>
        <v>5.5000000000000007E-2</v>
      </c>
      <c r="E68" s="212"/>
      <c r="F68" s="2491"/>
      <c r="G68" s="2491"/>
      <c r="H68" s="2499"/>
      <c r="I68" s="138"/>
      <c r="J68" s="3135"/>
      <c r="K68" s="2501" t="s">
        <v>2231</v>
      </c>
      <c r="L68" s="1752">
        <f ca="1">IF(M49&gt;10000,M49*0.5%,IF(AND(M49&gt;5000,M49&lt;=10000),M49*1%,IF(AND(M49&gt;1000,M49&lt;=5000),M49*2%,IF(AND(M49&gt;200,M49&lt;=1000),M49*3%,M49*5%))))</f>
        <v>50.18</v>
      </c>
      <c r="M68" s="24">
        <f ca="1">ROUND(L68,1)</f>
        <v>50.2</v>
      </c>
      <c r="Z68" s="2425"/>
      <c r="AI68" s="2426"/>
    </row>
    <row r="69" spans="1:35" s="2448" customFormat="1" ht="16.5" customHeight="1">
      <c r="A69" s="2502"/>
      <c r="B69" s="2503"/>
      <c r="C69" s="2504"/>
      <c r="D69" s="2505"/>
      <c r="E69" s="2506"/>
      <c r="F69" s="2169"/>
      <c r="G69" s="2169"/>
      <c r="H69" s="2168"/>
      <c r="I69" s="2420"/>
      <c r="J69" s="3135"/>
      <c r="K69" s="2501" t="s">
        <v>2232</v>
      </c>
      <c r="L69" s="2507"/>
      <c r="M69" s="24">
        <f ca="1">ROUND(SUM(M63:M68),0)</f>
        <v>169</v>
      </c>
      <c r="N69" s="1753">
        <f ca="1">M69/M49</f>
        <v>1.683937823834197E-2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094" t="s">
        <v>2233</v>
      </c>
      <c r="B70" s="3095"/>
      <c r="C70" s="3095"/>
      <c r="D70" s="3095"/>
      <c r="E70" s="3095"/>
      <c r="F70" s="3095"/>
      <c r="G70" s="3095"/>
      <c r="H70" s="3095"/>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73" t="s">
        <v>2214</v>
      </c>
      <c r="B71" s="3074"/>
      <c r="C71" s="1804"/>
      <c r="D71" s="1804" t="s">
        <v>2215</v>
      </c>
      <c r="E71" s="213" t="s">
        <v>2216</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774</v>
      </c>
      <c r="B72" s="204" t="s">
        <v>2234</v>
      </c>
      <c r="C72" s="207">
        <f ca="1">ROUND(D45/(1+'数据-取费表'!C42),0)</f>
        <v>9558</v>
      </c>
      <c r="D72" s="200" t="s">
        <v>31</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771</v>
      </c>
      <c r="B73" s="173" t="s">
        <v>2235</v>
      </c>
      <c r="C73" s="207">
        <f ca="1">C74+C78</f>
        <v>48</v>
      </c>
      <c r="D73" s="200" t="s">
        <v>31</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769</v>
      </c>
      <c r="B74" s="198" t="s">
        <v>2236</v>
      </c>
      <c r="C74" s="200">
        <f>ROUND(IF(G77="2016年5月1日后购买",C75/(1+'数据-取费表'!C42)+C76+C77,C75+C76+C77),0)</f>
        <v>0</v>
      </c>
      <c r="D74" s="200" t="s">
        <v>31</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775</v>
      </c>
      <c r="B75" s="198" t="s">
        <v>2237</v>
      </c>
      <c r="C75" s="218"/>
      <c r="D75" s="200" t="s">
        <v>31</v>
      </c>
      <c r="E75" s="219" t="s">
        <v>2238</v>
      </c>
      <c r="F75" s="2513" t="s">
        <v>2239</v>
      </c>
      <c r="G75" s="219" t="s">
        <v>2240</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776</v>
      </c>
      <c r="B76" s="221" t="s">
        <v>2241</v>
      </c>
      <c r="C76" s="200">
        <f>IF(F75="购房发票",ROUND(C75*H75*D76,0),0)</f>
        <v>0</v>
      </c>
      <c r="D76" s="222">
        <v>0.05</v>
      </c>
      <c r="E76" s="3068" t="s">
        <v>2242</v>
      </c>
      <c r="F76" s="3045"/>
      <c r="G76" s="3045"/>
      <c r="H76" s="3093"/>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777</v>
      </c>
      <c r="B77" s="198" t="s">
        <v>2243</v>
      </c>
      <c r="C77" s="200">
        <f>ROUND(IF(G77="个人住宅",0,IF(G77="2016年5月1日前购买",C75*D77,C75*D77/(1+'数据-取费表'!C42))),0)</f>
        <v>0</v>
      </c>
      <c r="D77" s="223">
        <f>'数据-取费表'!B48+'数据-取费表'!B49</f>
        <v>3.0499999999999999E-2</v>
      </c>
      <c r="E77" s="15" t="s">
        <v>2244</v>
      </c>
      <c r="F77" s="224"/>
      <c r="G77" s="2515" t="s">
        <v>2245</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770</v>
      </c>
      <c r="B78" s="198" t="s">
        <v>2246</v>
      </c>
      <c r="C78" s="225">
        <f ca="1">ROUND(D45*D78/(1+'数据-取费表'!C42),0)</f>
        <v>48</v>
      </c>
      <c r="D78" s="226">
        <f>'数据-取费表'!B43</f>
        <v>5.000000000000001E-3</v>
      </c>
      <c r="E78" s="3054" t="s">
        <v>2247</v>
      </c>
      <c r="F78" s="3055"/>
      <c r="G78" s="3055"/>
      <c r="H78" s="3064"/>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778</v>
      </c>
      <c r="B79" s="204" t="s">
        <v>2248</v>
      </c>
      <c r="C79" s="207">
        <f ca="1">C72-C73</f>
        <v>9510</v>
      </c>
      <c r="D79" s="200" t="s">
        <v>31</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779</v>
      </c>
      <c r="B80" s="204" t="s">
        <v>2249</v>
      </c>
      <c r="C80" s="227">
        <f ca="1">IF(C79&lt;=0,0,C79/C73)</f>
        <v>198.125</v>
      </c>
      <c r="D80" s="200" t="s">
        <v>31</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780</v>
      </c>
      <c r="B81" s="209" t="s">
        <v>2250</v>
      </c>
      <c r="C81" s="228">
        <f ca="1">ROUND(IF(C79&lt;=0,0,IF(C80&gt;=200%,C79*60%-C73*35%,IF(C80&gt;=100%,C79*50%-C73*15%,IF(C80&gt;=50%,C79*40%-C73*5%,IF(C80&lt;50%,C79*30%,0))))),0)</f>
        <v>5689</v>
      </c>
      <c r="D81" s="229" t="s">
        <v>31</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094" t="s">
        <v>2251</v>
      </c>
      <c r="B83" s="3095"/>
      <c r="C83" s="3095"/>
      <c r="D83" s="3095"/>
      <c r="E83" s="3095"/>
      <c r="F83" s="3095"/>
      <c r="G83" s="3095"/>
      <c r="H83" s="3095"/>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73" t="s">
        <v>2214</v>
      </c>
      <c r="B84" s="3074"/>
      <c r="C84" s="1804"/>
      <c r="D84" s="1804" t="s">
        <v>2215</v>
      </c>
      <c r="E84" s="213" t="s">
        <v>2216</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774</v>
      </c>
      <c r="B85" s="204" t="s">
        <v>2234</v>
      </c>
      <c r="C85" s="207">
        <f ca="1">ROUND(D45/(1+'数据-取费表'!C42),0)</f>
        <v>9558</v>
      </c>
      <c r="D85" s="200" t="s">
        <v>31</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771</v>
      </c>
      <c r="B86" s="173" t="s">
        <v>2235</v>
      </c>
      <c r="C86" s="207">
        <f ca="1">IF(H88="仅含出让金",C87+C90+C91+C92+C93+C94,C87+C91+C92+C93+C94)</f>
        <v>48</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769</v>
      </c>
      <c r="B87" s="198" t="s">
        <v>2252</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775</v>
      </c>
      <c r="B88" s="198" t="s">
        <v>2253</v>
      </c>
      <c r="C88" s="236"/>
      <c r="D88" s="226"/>
      <c r="E88" s="237" t="s">
        <v>2254</v>
      </c>
      <c r="F88" s="1800"/>
      <c r="G88" s="238" t="s">
        <v>2255</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776</v>
      </c>
      <c r="B89" s="198" t="s">
        <v>2243</v>
      </c>
      <c r="C89" s="225">
        <f>ROUND(C88*D89,0)</f>
        <v>0</v>
      </c>
      <c r="D89" s="226">
        <f>'数据-取费表'!B48+'数据-取费表'!B49</f>
        <v>3.0499999999999999E-2</v>
      </c>
      <c r="E89" s="237" t="s">
        <v>2256</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770</v>
      </c>
      <c r="B90" s="198" t="s">
        <v>2257</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2258</v>
      </c>
      <c r="B91" s="198" t="s">
        <v>2259</v>
      </c>
      <c r="C91" s="225">
        <f>IF(H91="——",成本法!C33,I91)</f>
        <v>0</v>
      </c>
      <c r="D91" s="226"/>
      <c r="E91" s="3054" t="s">
        <v>2260</v>
      </c>
      <c r="F91" s="3055"/>
      <c r="G91" s="3055"/>
      <c r="H91" s="2520" t="s">
        <v>2261</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2262</v>
      </c>
      <c r="B92" s="198" t="s">
        <v>2263</v>
      </c>
      <c r="C92" s="225">
        <f>ROUND((C87+C90+C91)*D92,0)</f>
        <v>0</v>
      </c>
      <c r="D92" s="226">
        <v>0.1</v>
      </c>
      <c r="E92" s="3054" t="s">
        <v>2264</v>
      </c>
      <c r="F92" s="3055"/>
      <c r="G92" s="3055"/>
      <c r="H92" s="3064"/>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2265</v>
      </c>
      <c r="B93" s="198" t="s">
        <v>2246</v>
      </c>
      <c r="C93" s="225">
        <f ca="1">ROUND(D45*D93/(1+'数据-取费表'!C42),0)</f>
        <v>48</v>
      </c>
      <c r="D93" s="226">
        <f>'数据-取费表'!B43</f>
        <v>5.000000000000001E-3</v>
      </c>
      <c r="E93" s="3054" t="s">
        <v>2247</v>
      </c>
      <c r="F93" s="3055"/>
      <c r="G93" s="3055"/>
      <c r="H93" s="3064"/>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2266</v>
      </c>
      <c r="B94" s="198" t="s">
        <v>2267</v>
      </c>
      <c r="C94" s="236">
        <f>ROUND((C87+C90+C91)*D94,0)</f>
        <v>0</v>
      </c>
      <c r="D94" s="226">
        <v>0.2</v>
      </c>
      <c r="E94" s="3065" t="s">
        <v>2268</v>
      </c>
      <c r="F94" s="3066"/>
      <c r="G94" s="3066"/>
      <c r="H94" s="3067"/>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778</v>
      </c>
      <c r="B95" s="204" t="s">
        <v>2248</v>
      </c>
      <c r="C95" s="207">
        <f ca="1">ROUND(C85-C86,0)</f>
        <v>9510</v>
      </c>
      <c r="D95" s="200" t="s">
        <v>31</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779</v>
      </c>
      <c r="B96" s="204" t="s">
        <v>2249</v>
      </c>
      <c r="C96" s="227">
        <f ca="1">IF(C95&lt;=0,0,C95/C86)</f>
        <v>198.125</v>
      </c>
      <c r="D96" s="200" t="s">
        <v>31</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780</v>
      </c>
      <c r="B97" s="209" t="s">
        <v>2250</v>
      </c>
      <c r="C97" s="228">
        <f ca="1">ROUND(IF(C95&lt;=0,0,IF(C96&gt;=200%,C95*60%-C86*35%,IF(C96&gt;=100%,C95*50%-C86*15%,IF(C96&gt;=50%,C95*40%-C86*5%,IF(C96&lt;50%,C95*30%,0))))),0)</f>
        <v>5689</v>
      </c>
      <c r="D97" s="229" t="s">
        <v>31</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8"/>
    </row>
    <row r="99" spans="1:35" ht="21.75" customHeight="1" thickBot="1">
      <c r="A99" s="2476" t="s">
        <v>2269</v>
      </c>
      <c r="B99" s="2420"/>
      <c r="C99" s="2420"/>
      <c r="D99" s="2420"/>
      <c r="E99" s="2169"/>
      <c r="F99" s="2169"/>
      <c r="G99" s="2169"/>
      <c r="H99" s="2168"/>
      <c r="I99" s="138"/>
    </row>
    <row r="100" spans="1:35" ht="18.75" customHeight="1">
      <c r="A100" s="3039" t="s">
        <v>2270</v>
      </c>
      <c r="B100" s="3040"/>
      <c r="C100" s="3040"/>
      <c r="D100" s="3056"/>
      <c r="E100" s="3040" t="s">
        <v>2271</v>
      </c>
      <c r="F100" s="3040"/>
      <c r="G100" s="3040"/>
      <c r="H100" s="3056"/>
      <c r="I100" s="138"/>
    </row>
    <row r="101" spans="1:35" ht="18.75" customHeight="1">
      <c r="A101" s="3118" t="s">
        <v>2272</v>
      </c>
      <c r="B101" s="3119"/>
      <c r="C101" s="736" t="str">
        <f>C4</f>
        <v>成本法</v>
      </c>
      <c r="D101" s="737" t="str">
        <f>D4</f>
        <v>收益法</v>
      </c>
      <c r="E101" s="3132" t="s">
        <v>2273</v>
      </c>
      <c r="F101" s="3086"/>
      <c r="G101" s="2522" t="s">
        <v>2274</v>
      </c>
      <c r="H101" s="1048">
        <f ca="1">H118</f>
        <v>10036</v>
      </c>
      <c r="I101" s="138"/>
    </row>
    <row r="102" spans="1:35" ht="18.75" customHeight="1">
      <c r="A102" s="3088" t="s">
        <v>2275</v>
      </c>
      <c r="B102" s="2522" t="s">
        <v>2274</v>
      </c>
      <c r="C102" s="736">
        <f ca="1">C19</f>
        <v>7531</v>
      </c>
      <c r="D102" s="737">
        <f ca="1">D19</f>
        <v>11110</v>
      </c>
      <c r="E102" s="3132"/>
      <c r="F102" s="3086"/>
      <c r="G102" s="2522" t="s">
        <v>2276</v>
      </c>
      <c r="H102" s="371">
        <f ca="1">I118</f>
        <v>6140</v>
      </c>
      <c r="I102" s="138"/>
    </row>
    <row r="103" spans="1:35" ht="42.75" customHeight="1">
      <c r="A103" s="3088"/>
      <c r="B103" s="2522" t="s">
        <v>2276</v>
      </c>
      <c r="C103" s="738">
        <f ca="1">C20</f>
        <v>4607</v>
      </c>
      <c r="D103" s="739">
        <f ca="1">D20</f>
        <v>6797</v>
      </c>
      <c r="E103" s="3127" t="s">
        <v>2277</v>
      </c>
      <c r="F103" s="3128"/>
      <c r="G103" s="2523" t="s">
        <v>2278</v>
      </c>
      <c r="H103" s="1048">
        <f>IF(D36="正常操作",H104+H105+H106,H105+H106)</f>
        <v>0</v>
      </c>
      <c r="I103" s="138"/>
    </row>
    <row r="104" spans="1:35" ht="18.75" customHeight="1">
      <c r="A104" s="3088" t="s">
        <v>2279</v>
      </c>
      <c r="B104" s="2524" t="s">
        <v>2274</v>
      </c>
      <c r="C104" s="740">
        <f ca="1">H118</f>
        <v>10036</v>
      </c>
      <c r="D104" s="741"/>
      <c r="E104" s="2270" t="s">
        <v>2280</v>
      </c>
      <c r="F104" s="2261"/>
      <c r="G104" s="2523" t="s">
        <v>2278</v>
      </c>
      <c r="H104" s="1049">
        <f>IF(D36="同一抵押权人同一抵押物续贷",C36&amp;"（未扣减，详见特别提示）",C36)</f>
        <v>0</v>
      </c>
      <c r="I104" s="138"/>
    </row>
    <row r="105" spans="1:35" ht="18.75" customHeight="1" thickBot="1">
      <c r="A105" s="3089"/>
      <c r="B105" s="2525" t="s">
        <v>2276</v>
      </c>
      <c r="C105" s="742">
        <f ca="1">I118</f>
        <v>6140</v>
      </c>
      <c r="D105" s="743"/>
      <c r="E105" s="2270" t="s">
        <v>2281</v>
      </c>
      <c r="F105" s="2261"/>
      <c r="G105" s="2523" t="s">
        <v>2278</v>
      </c>
      <c r="H105" s="1049">
        <f>C37</f>
        <v>0</v>
      </c>
      <c r="I105" s="138"/>
    </row>
    <row r="106" spans="1:35" ht="18.75" customHeight="1">
      <c r="A106" s="2420" t="s">
        <v>2282</v>
      </c>
      <c r="B106" s="2420"/>
      <c r="C106" s="2420"/>
      <c r="D106" s="2420"/>
      <c r="E106" s="2526" t="s">
        <v>2283</v>
      </c>
      <c r="F106" s="2261"/>
      <c r="G106" s="2523" t="s">
        <v>2278</v>
      </c>
      <c r="H106" s="1049">
        <f>C38</f>
        <v>0</v>
      </c>
      <c r="I106" s="138"/>
    </row>
    <row r="107" spans="1:35" ht="18.75" customHeight="1">
      <c r="A107" s="138"/>
      <c r="B107" s="138"/>
      <c r="C107" s="138"/>
      <c r="D107" s="138"/>
      <c r="E107" s="3085" t="str">
        <f>IF(项目基本情况!E8="已注销","——","3.房地产抵押价值")</f>
        <v>3.房地产抵押价值</v>
      </c>
      <c r="F107" s="3086"/>
      <c r="G107" s="2522" t="s">
        <v>2274</v>
      </c>
      <c r="H107" s="1048">
        <f ca="1">IF(E107="——","——",H101-H103)</f>
        <v>10036</v>
      </c>
      <c r="I107" s="138"/>
    </row>
    <row r="108" spans="1:35" ht="18.75" customHeight="1">
      <c r="A108" s="138"/>
      <c r="B108" s="138"/>
      <c r="C108" s="138"/>
      <c r="D108" s="138"/>
      <c r="E108" s="3085"/>
      <c r="F108" s="3086"/>
      <c r="G108" s="2522" t="s">
        <v>2276</v>
      </c>
      <c r="H108" s="371">
        <f ca="1">ROUND(H107*10000/'数据-汇总表'!E3,0)</f>
        <v>6140</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86"/>
      <c r="G109" s="2522" t="s">
        <v>2274</v>
      </c>
      <c r="H109" s="348" t="str">
        <f>IF(E109="——","——",H101-H105-H106)</f>
        <v>——</v>
      </c>
      <c r="I109" s="138"/>
    </row>
    <row r="110" spans="1:35" ht="18.75" customHeight="1">
      <c r="A110" s="138"/>
      <c r="B110" s="138"/>
      <c r="C110" s="138"/>
      <c r="D110" s="138"/>
      <c r="E110" s="3085"/>
      <c r="F110" s="3086"/>
      <c r="G110" s="2522" t="s">
        <v>2276</v>
      </c>
      <c r="H110" s="371" t="str">
        <f>IF(H109="——","——",ROUND(H109*10000/'数据-汇总表'!E3,0))</f>
        <v>——</v>
      </c>
      <c r="I110" s="138"/>
    </row>
    <row r="111" spans="1:35" ht="18.75" customHeight="1">
      <c r="A111" s="138"/>
      <c r="B111" s="138"/>
      <c r="C111" s="138"/>
      <c r="D111" s="138"/>
      <c r="E111" s="3120" t="str">
        <f>IF(项目基本情况!E9="抵押净值",IF(OR(项目基本情况!E8="已注销",项目基本情况!E8="房地产抵押价值"),"4.抵押净值","5.抵押净值"),"——")</f>
        <v>——</v>
      </c>
      <c r="F111" s="3121"/>
      <c r="G111" s="2522" t="s">
        <v>2274</v>
      </c>
      <c r="H111" s="1048" t="str">
        <f>IF(E111="——","——",N59)</f>
        <v>——</v>
      </c>
      <c r="I111" s="138"/>
    </row>
    <row r="112" spans="1:35" ht="18.75" customHeight="1" thickBot="1">
      <c r="A112" s="138"/>
      <c r="B112" s="138"/>
      <c r="C112" s="138"/>
      <c r="D112" s="138"/>
      <c r="E112" s="3122"/>
      <c r="F112" s="3123"/>
      <c r="G112" s="2527" t="s">
        <v>2276</v>
      </c>
      <c r="H112" s="790" t="str">
        <f>IF(E111="——","——",N61)</f>
        <v>——</v>
      </c>
      <c r="I112" s="138"/>
    </row>
    <row r="113" spans="1:11" ht="18.75" customHeight="1">
      <c r="A113" s="138"/>
      <c r="B113" s="138"/>
      <c r="C113" s="138"/>
      <c r="D113" s="138"/>
      <c r="E113" s="3090" t="s">
        <v>2282</v>
      </c>
      <c r="F113" s="3090"/>
      <c r="G113" s="3090"/>
      <c r="H113" s="3090"/>
      <c r="I113" s="138"/>
    </row>
    <row r="114" spans="1:11" ht="3.75" customHeight="1">
      <c r="A114" s="2420"/>
      <c r="B114" s="2420"/>
      <c r="C114" s="2420"/>
      <c r="D114" s="2420"/>
      <c r="E114" s="2498"/>
      <c r="F114" s="2498"/>
      <c r="G114" s="2498"/>
      <c r="H114" s="2498"/>
      <c r="I114" s="2420"/>
    </row>
    <row r="115" spans="1:11" ht="18.75" customHeight="1">
      <c r="A115" s="3103" t="s">
        <v>2284</v>
      </c>
      <c r="B115" s="3104"/>
      <c r="C115" s="3104"/>
      <c r="D115" s="3104"/>
      <c r="E115" s="3104"/>
      <c r="F115" s="3104"/>
      <c r="G115" s="3104"/>
      <c r="H115" s="3104"/>
      <c r="I115" s="3105"/>
    </row>
    <row r="116" spans="1:11" ht="27" customHeight="1">
      <c r="A116" s="2996" t="s">
        <v>2285</v>
      </c>
      <c r="B116" s="3091" t="s">
        <v>2286</v>
      </c>
      <c r="C116" s="3091" t="s">
        <v>2287</v>
      </c>
      <c r="D116" s="3107" t="s">
        <v>2288</v>
      </c>
      <c r="E116" s="3108"/>
      <c r="F116" s="3099" t="s">
        <v>2289</v>
      </c>
      <c r="G116" s="3099"/>
      <c r="H116" s="2996" t="s">
        <v>2290</v>
      </c>
      <c r="I116" s="2996"/>
    </row>
    <row r="117" spans="1:11" ht="18.75" customHeight="1">
      <c r="A117" s="2996"/>
      <c r="B117" s="3092"/>
      <c r="C117" s="3092"/>
      <c r="D117" s="1798" t="s">
        <v>2291</v>
      </c>
      <c r="E117" s="1798" t="s">
        <v>2292</v>
      </c>
      <c r="F117" s="1798" t="s">
        <v>2291</v>
      </c>
      <c r="G117" s="1798" t="s">
        <v>2293</v>
      </c>
      <c r="H117" s="1798" t="s">
        <v>2291</v>
      </c>
      <c r="I117" s="1798" t="s">
        <v>2293</v>
      </c>
    </row>
    <row r="118" spans="1:11" ht="24.75" customHeight="1">
      <c r="A118" s="2528" t="str">
        <f>项目基本情况!S2</f>
        <v>北京市顺义区白马路马坡段60号院1-6幢工业用房房地产</v>
      </c>
      <c r="B118" s="1798">
        <f>M18</f>
        <v>16346.349999999999</v>
      </c>
      <c r="C118" s="1798">
        <f>M19</f>
        <v>13177.7</v>
      </c>
      <c r="D118" s="1798">
        <f ca="1">ROUND(IF(D32="总价",C34,E118*B118/10000),0)</f>
        <v>2910</v>
      </c>
      <c r="E118" s="1798">
        <f ca="1">ROUND(IF(C33="自定义",IF(D32="楼面单价",C34,D118*10000/B118),I118-G118),0)</f>
        <v>1781</v>
      </c>
      <c r="F118" s="1798">
        <f ca="1">ROUND(IF(D32="总价",C35,G118*B118/10000),0)</f>
        <v>7126</v>
      </c>
      <c r="G118" s="1798">
        <f ca="1">ROUND(IF(D32="楼面单价",C35,F118*10000/B118),0)</f>
        <v>4359</v>
      </c>
      <c r="H118" s="1798">
        <f ca="1">ROUND(IF(D32="总价",C32,I118*B118/10000),0)</f>
        <v>10036</v>
      </c>
      <c r="I118" s="1798">
        <f ca="1">ROUND(IF(D32="楼面单价",C32,H118*10000/B118),0)</f>
        <v>6140</v>
      </c>
      <c r="J118" s="795">
        <f ca="1">D118/C118*666.67</f>
        <v>147.21914294603761</v>
      </c>
    </row>
    <row r="119" spans="1:11" ht="18.75" customHeight="1">
      <c r="A119" s="2996" t="s">
        <v>2294</v>
      </c>
      <c r="B119" s="2996"/>
      <c r="C119" s="2996"/>
      <c r="D119" s="3096" t="str">
        <f ca="1">NUMBERSTRING(INT(D118*10000),2)&amp;"元整"</f>
        <v>贰仟玖佰壹拾万元整</v>
      </c>
      <c r="E119" s="3098"/>
      <c r="F119" s="3096" t="str">
        <f ca="1">NUMBERSTRING(INT(F118*10000),2)&amp;"元整"</f>
        <v>柒仟壹佰贰拾陆万元整</v>
      </c>
      <c r="G119" s="3098"/>
      <c r="H119" s="3096" t="str">
        <f ca="1">NUMBERSTRING(INT(H118*10000),2)&amp;"元整"</f>
        <v>壹亿零叁拾陆万元整</v>
      </c>
      <c r="I119" s="3098"/>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2425" t="str">
        <f>IF(D120=0,"故，本次评估不存在"&amp;A120,"故，本次评估"&amp;A120&amp;"为人民币"&amp;D120&amp;"万元整。")</f>
        <v>故，本次评估不存在估价师知悉的法定优先受偿款</v>
      </c>
    </row>
    <row r="121" spans="1:11" ht="18.75" customHeight="1">
      <c r="A121" s="3100" t="s">
        <v>2294</v>
      </c>
      <c r="B121" s="3101"/>
      <c r="C121" s="3102"/>
      <c r="D121" s="3096" t="str">
        <f>IF(D120=0,"零元整",NUMBERSTRING(INT(D120*10000),2)&amp;"元整")</f>
        <v>零元整</v>
      </c>
      <c r="E121" s="3097"/>
      <c r="F121" s="3097"/>
      <c r="G121" s="3097"/>
      <c r="H121" s="3097"/>
      <c r="I121" s="3098"/>
    </row>
    <row r="122" spans="1:11" ht="18.75" customHeight="1">
      <c r="A122" s="3087" t="str">
        <f>IF(项目基本情况!B9="房地产市场价值","",MID(E107,3,LEN(E107)-2))</f>
        <v>房地产抵押价值</v>
      </c>
      <c r="B122" s="3087"/>
      <c r="C122" s="3087"/>
      <c r="D122" s="3124">
        <f ca="1">H107</f>
        <v>10036</v>
      </c>
      <c r="E122" s="3125"/>
      <c r="F122" s="3125"/>
      <c r="G122" s="3125"/>
      <c r="H122" s="3125"/>
      <c r="I122" s="3126"/>
    </row>
    <row r="123" spans="1:11" ht="18.75" customHeight="1">
      <c r="A123" s="2996" t="s">
        <v>2294</v>
      </c>
      <c r="B123" s="2996"/>
      <c r="C123" s="2996"/>
      <c r="D123" s="3096" t="str">
        <f ca="1">NUMBERSTRING(INT(D122*10000),2)&amp;"元整"</f>
        <v>壹亿零叁拾陆万元整</v>
      </c>
      <c r="E123" s="3097"/>
      <c r="F123" s="3097"/>
      <c r="G123" s="3097"/>
      <c r="H123" s="3097"/>
      <c r="I123" s="3098"/>
    </row>
    <row r="124" spans="1:11" ht="18.75" customHeight="1">
      <c r="A124" s="3087" t="str">
        <f>IF(项目基本情况!B9="房地产市场价值","",MID(E109,3,LEN(E109)-2))</f>
        <v/>
      </c>
      <c r="B124" s="3087"/>
      <c r="C124" s="3087"/>
      <c r="D124" s="3124" t="str">
        <f>H109</f>
        <v>——</v>
      </c>
      <c r="E124" s="3125"/>
      <c r="F124" s="3125"/>
      <c r="G124" s="3125"/>
      <c r="H124" s="3125"/>
      <c r="I124" s="3126"/>
    </row>
    <row r="125" spans="1:11" ht="18.75" customHeight="1">
      <c r="A125" s="2996" t="s">
        <v>2294</v>
      </c>
      <c r="B125" s="2996"/>
      <c r="C125" s="2996"/>
      <c r="D125" s="3096" t="e">
        <f>NUMBERSTRING(INT(D124*10000),2)&amp;"元整"</f>
        <v>#VALUE!</v>
      </c>
      <c r="E125" s="3097"/>
      <c r="F125" s="3097"/>
      <c r="G125" s="3097"/>
      <c r="H125" s="3097"/>
      <c r="I125" s="3098"/>
    </row>
    <row r="126" spans="1:11" ht="18.75" customHeight="1">
      <c r="A126" s="3087" t="str">
        <f>IF(项目基本情况!B9="房地产市场价值","",MID(E111,3,LEN(E111)-2))</f>
        <v/>
      </c>
      <c r="B126" s="3087"/>
      <c r="C126" s="3087"/>
      <c r="D126" s="3124" t="str">
        <f>H111</f>
        <v>——</v>
      </c>
      <c r="E126" s="3125"/>
      <c r="F126" s="3125"/>
      <c r="G126" s="3125"/>
      <c r="H126" s="3125"/>
      <c r="I126" s="3126"/>
    </row>
    <row r="127" spans="1:11" ht="18.75" customHeight="1">
      <c r="A127" s="2996" t="s">
        <v>2294</v>
      </c>
      <c r="B127" s="2996"/>
      <c r="C127" s="2996"/>
      <c r="D127" s="3096" t="e">
        <f>NUMBERSTRING(INT(D126*10000),2)&amp;"元整"</f>
        <v>#VALUE!</v>
      </c>
      <c r="E127" s="3097"/>
      <c r="F127" s="3097"/>
      <c r="G127" s="3097"/>
      <c r="H127" s="3097"/>
      <c r="I127" s="3098"/>
    </row>
    <row r="128" spans="1:11" ht="21.75" customHeight="1">
      <c r="A128" s="3106" t="s">
        <v>2295</v>
      </c>
      <c r="B128" s="3106"/>
      <c r="C128" s="3106"/>
      <c r="D128" s="3106"/>
      <c r="E128" s="3106"/>
      <c r="F128" s="3106"/>
      <c r="G128" s="3106"/>
      <c r="H128" s="3106"/>
      <c r="I128" s="3106"/>
    </row>
    <row r="129" spans="1:35" ht="21.75" customHeight="1">
      <c r="A129" s="2529" t="s">
        <v>2296</v>
      </c>
      <c r="B129" s="2530"/>
      <c r="C129" s="2531" t="s">
        <v>2297</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2298</v>
      </c>
      <c r="G135" s="2546"/>
      <c r="H135" s="2546"/>
      <c r="I135" s="2547" t="s">
        <v>2299</v>
      </c>
    </row>
    <row r="136" spans="1:35" ht="21.75" customHeight="1">
      <c r="A136" s="795"/>
      <c r="B136" s="2548" t="s">
        <v>2300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2301</v>
      </c>
    </row>
    <row r="139" spans="1:35" ht="21.75" customHeight="1">
      <c r="A139" s="795"/>
      <c r="B139" s="2548" t="s">
        <v>2302</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2301</v>
      </c>
    </row>
    <row r="142" spans="1:35" ht="21.75" customHeight="1">
      <c r="A142" s="795"/>
      <c r="B142" s="2548"/>
      <c r="C142" s="2549"/>
      <c r="D142" s="2550"/>
      <c r="E142" s="2550"/>
      <c r="F142" s="2344"/>
      <c r="G142" s="795"/>
      <c r="H142" s="795"/>
      <c r="I142" s="795"/>
    </row>
    <row r="143" spans="1:35" s="139" customFormat="1" ht="21.75" customHeight="1">
      <c r="A143" s="795"/>
      <c r="B143" s="2548"/>
      <c r="C143" s="2549"/>
      <c r="D143" s="2550"/>
      <c r="E143" s="2550"/>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7" sqref="B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2303</v>
      </c>
      <c r="B1" s="1940" t="s">
        <v>3042</v>
      </c>
      <c r="C1" s="242"/>
      <c r="D1" s="242"/>
      <c r="E1" s="242"/>
      <c r="F1" s="242"/>
      <c r="G1" s="1382">
        <f>MATCH(B1,'数据-取费表'!A6:A16,0)+5</f>
        <v>6</v>
      </c>
    </row>
    <row r="2" spans="1:9" s="244" customFormat="1" ht="18" customHeight="1">
      <c r="A2" s="245" t="s">
        <v>2304</v>
      </c>
      <c r="B2" s="246">
        <f ca="1">IF(D2="——",C52,C52-E2)</f>
        <v>7531</v>
      </c>
      <c r="C2" s="243" t="s">
        <v>2305</v>
      </c>
      <c r="D2" s="2551" t="s">
        <v>69</v>
      </c>
      <c r="E2" s="1443" t="e">
        <f ca="1">SUMIF(INDIRECT("'"&amp;G2&amp;"'"&amp;"!A:A"),"承租人权益价值",INDIRECT("'"&amp;G2&amp;"'"&amp;"!c:c"))</f>
        <v>#REF!</v>
      </c>
      <c r="F2" s="2552" t="s">
        <v>2305</v>
      </c>
      <c r="G2" s="2553"/>
    </row>
    <row r="3" spans="1:9" s="244" customFormat="1" ht="18" customHeight="1" thickBot="1">
      <c r="A3" s="247" t="s">
        <v>2306</v>
      </c>
      <c r="B3" s="248">
        <f ca="1">ROUND(B2*10000/(IF(B1="",'数据-汇总表'!E3,INDIRECT("'数据-取费表'!k"&amp;$G$1))),0)</f>
        <v>4607</v>
      </c>
      <c r="C3" s="243" t="s">
        <v>2307</v>
      </c>
      <c r="D3" s="243"/>
      <c r="E3" s="243"/>
      <c r="F3" s="243"/>
      <c r="G3" s="243"/>
    </row>
    <row r="4" spans="1:9" s="252" customFormat="1" ht="15.75">
      <c r="A4" s="249" t="s">
        <v>2308</v>
      </c>
      <c r="B4" s="250"/>
      <c r="C4" s="250"/>
      <c r="D4" s="250"/>
      <c r="E4" s="250"/>
      <c r="F4" s="250"/>
      <c r="G4" s="251"/>
    </row>
    <row r="5" spans="1:9" s="258" customFormat="1" ht="13.5" customHeight="1">
      <c r="A5" s="299" t="s">
        <v>2309</v>
      </c>
      <c r="B5" s="254" t="s">
        <v>2310</v>
      </c>
      <c r="C5" s="255">
        <f ca="1">C6+C7+C8</f>
        <v>1735</v>
      </c>
      <c r="D5" s="255" t="s">
        <v>2311</v>
      </c>
      <c r="E5" s="256" t="s">
        <v>2312</v>
      </c>
      <c r="F5" s="256" t="s">
        <v>2313</v>
      </c>
      <c r="G5" s="257"/>
    </row>
    <row r="6" spans="1:9" s="258" customFormat="1" ht="13.5" customHeight="1">
      <c r="A6" s="952" t="s">
        <v>2314</v>
      </c>
      <c r="B6" s="259" t="s">
        <v>2315</v>
      </c>
      <c r="C6" s="260">
        <f ca="1">基准地价修正!B2</f>
        <v>1684</v>
      </c>
      <c r="D6" s="261"/>
      <c r="E6" s="262"/>
      <c r="F6" s="262"/>
      <c r="G6" s="263"/>
    </row>
    <row r="7" spans="1:9" s="258" customFormat="1" ht="13.5" customHeight="1">
      <c r="A7" s="952" t="s">
        <v>2316</v>
      </c>
      <c r="B7" s="259" t="s">
        <v>2317</v>
      </c>
      <c r="C7" s="264">
        <f ca="1">ROUND(C6*F7,0)</f>
        <v>51</v>
      </c>
      <c r="D7" s="264"/>
      <c r="E7" s="262"/>
      <c r="F7" s="265">
        <f>'数据-取费表'!B48+'数据-取费表'!B49</f>
        <v>3.0499999999999999E-2</v>
      </c>
      <c r="G7" s="263"/>
    </row>
    <row r="8" spans="1:9" s="267" customFormat="1">
      <c r="A8" s="952" t="s">
        <v>2318</v>
      </c>
      <c r="B8" s="259" t="s">
        <v>2319</v>
      </c>
      <c r="C8" s="264">
        <f ca="1">IF(G8="已包含在土地购买价格中","0",IF(B1="",'数据-取费表'!B29,IF(G9="全部缴纳",C9+C10,H9)))</f>
        <v>0</v>
      </c>
      <c r="D8" s="266"/>
      <c r="E8" s="264"/>
      <c r="F8" s="265"/>
      <c r="G8" s="2554" t="s">
        <v>3067</v>
      </c>
    </row>
    <row r="9" spans="1:9" s="258" customFormat="1" ht="13.5" customHeight="1">
      <c r="A9" s="953" t="s">
        <v>799</v>
      </c>
      <c r="B9" s="268" t="s">
        <v>2320</v>
      </c>
      <c r="C9" s="269">
        <f ca="1">ROUND(D9*E9/10000,0)</f>
        <v>0</v>
      </c>
      <c r="D9" s="1035">
        <f ca="1">IF(B1="",'数据-汇总表'!E5,IF(INDIRECT("'数据-取费表'!c"&amp;$G$1)="住宅",INDIRECT("'数据-取费表'!k"&amp;$G$1),0))</f>
        <v>0</v>
      </c>
      <c r="E9" s="269">
        <f>'数据-取费表'!B27</f>
        <v>0</v>
      </c>
      <c r="F9" s="265"/>
      <c r="G9" s="2555" t="s">
        <v>3068</v>
      </c>
      <c r="H9" s="1393"/>
      <c r="I9" s="2556" t="s">
        <v>2321</v>
      </c>
    </row>
    <row r="10" spans="1:9" s="258" customFormat="1" ht="13.5" customHeight="1">
      <c r="A10" s="953" t="s">
        <v>800</v>
      </c>
      <c r="B10" s="268" t="s">
        <v>2322</v>
      </c>
      <c r="C10" s="269">
        <f ca="1">ROUND(D10*E10/10000,0)</f>
        <v>0</v>
      </c>
      <c r="D10" s="1035">
        <f ca="1">IF(B1="",'数据-汇总表'!E6,IF(INDIRECT("'数据-取费表'!c"&amp;$G$1)="住宅",INDIRECT("'数据-取费表'!s"&amp;$G$1),INDIRECT("'数据-取费表'!k"&amp;$G$1)+INDIRECT("'数据-取费表'!s"&amp;$G$1)))</f>
        <v>16346.349999999999</v>
      </c>
      <c r="E10" s="269">
        <f>'数据-取费表'!B28</f>
        <v>0</v>
      </c>
      <c r="F10" s="265"/>
      <c r="G10" s="270"/>
    </row>
    <row r="11" spans="1:9" s="258" customFormat="1" ht="13.5" hidden="1" customHeight="1">
      <c r="A11" s="271" t="s">
        <v>7</v>
      </c>
      <c r="B11" s="259" t="s">
        <v>2323</v>
      </c>
      <c r="C11" s="255"/>
      <c r="D11" s="1037"/>
      <c r="E11" s="262"/>
      <c r="F11" s="262"/>
      <c r="G11" s="263"/>
    </row>
    <row r="12" spans="1:9" s="258" customFormat="1" ht="13.5" hidden="1" customHeight="1">
      <c r="A12" s="271" t="s">
        <v>8</v>
      </c>
      <c r="B12" s="259" t="s">
        <v>2324</v>
      </c>
      <c r="C12" s="255">
        <v>0</v>
      </c>
      <c r="D12" s="1037"/>
      <c r="E12" s="272"/>
      <c r="F12" s="265">
        <v>3.0499999999999999E-2</v>
      </c>
      <c r="G12" s="263"/>
    </row>
    <row r="13" spans="1:9" s="258" customFormat="1" ht="13.5" hidden="1" customHeight="1">
      <c r="A13" s="271" t="s">
        <v>9</v>
      </c>
      <c r="B13" s="259" t="s">
        <v>2325</v>
      </c>
      <c r="C13" s="255"/>
      <c r="D13" s="1037"/>
      <c r="E13" s="262"/>
      <c r="F13" s="262"/>
      <c r="G13" s="263"/>
    </row>
    <row r="14" spans="1:9" s="258" customFormat="1" ht="13.5" hidden="1" customHeight="1">
      <c r="A14" s="271" t="s">
        <v>10</v>
      </c>
      <c r="B14" s="259" t="s">
        <v>2326</v>
      </c>
      <c r="C14" s="255"/>
      <c r="D14" s="1037"/>
      <c r="E14" s="262"/>
      <c r="F14" s="262"/>
      <c r="G14" s="263" t="s">
        <v>2327</v>
      </c>
    </row>
    <row r="15" spans="1:9" s="258" customFormat="1" ht="13.5" hidden="1" customHeight="1">
      <c r="A15" s="271" t="s">
        <v>11</v>
      </c>
      <c r="B15" s="259" t="s">
        <v>2328</v>
      </c>
      <c r="C15" s="264"/>
      <c r="D15" s="1037"/>
      <c r="E15" s="262"/>
      <c r="F15" s="262"/>
      <c r="G15" s="263" t="s">
        <v>2329</v>
      </c>
    </row>
    <row r="16" spans="1:9" s="258" customFormat="1" ht="13.5" hidden="1" customHeight="1">
      <c r="A16" s="271" t="s">
        <v>12</v>
      </c>
      <c r="B16" s="259" t="s">
        <v>2326</v>
      </c>
      <c r="C16" s="264"/>
      <c r="D16" s="1037"/>
      <c r="E16" s="262"/>
      <c r="F16" s="262"/>
      <c r="G16" s="263"/>
    </row>
    <row r="17" spans="1:7" s="258" customFormat="1" ht="13.5" hidden="1" customHeight="1">
      <c r="A17" s="271" t="s">
        <v>13</v>
      </c>
      <c r="B17" s="259" t="s">
        <v>2330</v>
      </c>
      <c r="C17" s="273"/>
      <c r="D17" s="1038"/>
      <c r="E17" s="273"/>
      <c r="F17" s="273"/>
      <c r="G17" s="263" t="s">
        <v>2329</v>
      </c>
    </row>
    <row r="18" spans="1:7" s="258" customFormat="1" ht="13.5" hidden="1" customHeight="1">
      <c r="A18" s="271" t="s">
        <v>14</v>
      </c>
      <c r="B18" s="259" t="s">
        <v>2331</v>
      </c>
      <c r="C18" s="264">
        <v>0</v>
      </c>
      <c r="D18" s="1037"/>
      <c r="E18" s="262"/>
      <c r="F18" s="265">
        <v>3.0499999999999999E-2</v>
      </c>
      <c r="G18" s="263" t="s">
        <v>2332</v>
      </c>
    </row>
    <row r="19" spans="1:7" s="267" customFormat="1" ht="13.5" customHeight="1">
      <c r="A19" s="299" t="s">
        <v>2333</v>
      </c>
      <c r="B19" s="254" t="s">
        <v>2334</v>
      </c>
      <c r="C19" s="255" t="str">
        <f>IF(G19="已包含在土地取得成本中","0",ROUND(D19*E19/10000,0))</f>
        <v>0</v>
      </c>
      <c r="D19" s="1039">
        <f ca="1">D9+D10</f>
        <v>16346.349999999999</v>
      </c>
      <c r="E19" s="255">
        <f>'数据-取费表'!B31</f>
        <v>200</v>
      </c>
      <c r="F19" s="275"/>
      <c r="G19" s="2554" t="s">
        <v>3069</v>
      </c>
    </row>
    <row r="20" spans="1:7" s="258" customFormat="1" ht="13.5" customHeight="1">
      <c r="A20" s="299" t="s">
        <v>2335</v>
      </c>
      <c r="B20" s="254" t="s">
        <v>2336</v>
      </c>
      <c r="C20" s="276">
        <f ca="1">ROUND((C5+C19)*F20,0)</f>
        <v>35</v>
      </c>
      <c r="D20" s="276"/>
      <c r="E20" s="276"/>
      <c r="F20" s="277">
        <f>'数据-取费表'!B37</f>
        <v>0.02</v>
      </c>
      <c r="G20" s="278" t="s">
        <v>2337</v>
      </c>
    </row>
    <row r="21" spans="1:7" s="258" customFormat="1" ht="13.5" customHeight="1">
      <c r="A21" s="299" t="s">
        <v>2338</v>
      </c>
      <c r="B21" s="254" t="s">
        <v>2339</v>
      </c>
      <c r="C21" s="279">
        <f>F21</f>
        <v>0.02</v>
      </c>
      <c r="D21" s="280" t="s">
        <v>2340</v>
      </c>
      <c r="E21" s="276"/>
      <c r="F21" s="277">
        <f>'数据-取费表'!B38</f>
        <v>0.02</v>
      </c>
      <c r="G21" s="278" t="s">
        <v>2341</v>
      </c>
    </row>
    <row r="22" spans="1:7" s="258" customFormat="1" ht="13.5" customHeight="1">
      <c r="A22" s="299" t="s">
        <v>2342</v>
      </c>
      <c r="B22" s="254" t="s">
        <v>2343</v>
      </c>
      <c r="C22" s="1357">
        <f ca="1">ROUND(SUM(C23:C25),0)</f>
        <v>76</v>
      </c>
      <c r="D22" s="279">
        <f ca="1">C26</f>
        <v>4.0000000000000002E-4</v>
      </c>
      <c r="E22" s="280" t="s">
        <v>2340</v>
      </c>
      <c r="F22" s="281">
        <f ca="1">'数据-取费表'!B40</f>
        <v>4.3499999999999997E-2</v>
      </c>
      <c r="G22" s="278" t="str">
        <f>IF('数据-取费表'!B22&lt;=1,"单利计息","复利计息")</f>
        <v>单利计息</v>
      </c>
    </row>
    <row r="23" spans="1:7" s="258" customFormat="1" ht="13.5" customHeight="1">
      <c r="A23" s="954" t="s">
        <v>2344</v>
      </c>
      <c r="B23" s="259" t="s">
        <v>2345</v>
      </c>
      <c r="C23" s="1358">
        <f ca="1">ROUND(IF('数据-取费表'!B22&lt;=1,C5*F22*'数据-取费表'!B23,C5*(POWER((1+F22),'数据-取费表'!B23)-1)),0)</f>
        <v>75</v>
      </c>
      <c r="D23" s="282"/>
      <c r="E23" s="282"/>
      <c r="F23" s="283"/>
      <c r="G23" s="284" t="s">
        <v>2346</v>
      </c>
    </row>
    <row r="24" spans="1:7" s="258" customFormat="1" ht="13.5" customHeight="1">
      <c r="A24" s="954" t="s">
        <v>2347</v>
      </c>
      <c r="B24" s="259" t="s">
        <v>2348</v>
      </c>
      <c r="C24" s="1358">
        <f ca="1">ROUND(IF('数据-取费表'!B22&lt;=1,C19*F22*('数据-取费表'!B19/2+'数据-取费表'!B21),C19*(POWER((1+F22),('数据-取费表'!B19/2+'数据-取费表'!B21))-1)),0)</f>
        <v>0</v>
      </c>
      <c r="D24" s="282"/>
      <c r="E24" s="282"/>
      <c r="F24" s="283"/>
      <c r="G24" s="284" t="s">
        <v>2349</v>
      </c>
    </row>
    <row r="25" spans="1:7" s="258" customFormat="1" ht="24">
      <c r="A25" s="954" t="s">
        <v>2350</v>
      </c>
      <c r="B25" s="259" t="s">
        <v>2351</v>
      </c>
      <c r="C25" s="1358">
        <f ca="1">ROUND(IF('数据-取费表'!B22&lt;=1,C20*F22*'数据-取费表'!B23/2,C20*(POWER((1+F22),'数据-取费表'!B23/2)-1)),0)</f>
        <v>1</v>
      </c>
      <c r="D25" s="282"/>
      <c r="E25" s="285"/>
      <c r="F25" s="283"/>
      <c r="G25" s="286" t="s">
        <v>2352</v>
      </c>
    </row>
    <row r="26" spans="1:7" s="258" customFormat="1">
      <c r="A26" s="954" t="s">
        <v>794</v>
      </c>
      <c r="B26" s="259" t="s">
        <v>2353</v>
      </c>
      <c r="C26" s="282">
        <f ca="1">ROUND(IF('数据-取费表'!B22&lt;=1,F21*F22*'数据-取费表'!B23/2,F21*(POWER((1+F22),'数据-取费表'!B23/2)-1)),4)</f>
        <v>4.0000000000000002E-4</v>
      </c>
      <c r="D26" s="282"/>
      <c r="E26" s="285"/>
      <c r="F26" s="283"/>
      <c r="G26" s="287"/>
    </row>
    <row r="27" spans="1:7" s="258" customFormat="1" ht="24.75">
      <c r="A27" s="299" t="s">
        <v>2354</v>
      </c>
      <c r="B27" s="288" t="s">
        <v>2355</v>
      </c>
      <c r="C27" s="289">
        <f ca="1">C28</f>
        <v>177</v>
      </c>
      <c r="D27" s="279">
        <f ca="1">C29</f>
        <v>2E-3</v>
      </c>
      <c r="E27" s="280" t="s">
        <v>2356</v>
      </c>
      <c r="F27" s="290">
        <f ca="1">IF(B1="",'数据-取费表'!Q16,INDIRECT("'数据-取费表'!q"&amp;$G$1))</f>
        <v>0.1</v>
      </c>
      <c r="G27" s="291" t="s">
        <v>2357</v>
      </c>
    </row>
    <row r="28" spans="1:7" s="258" customFormat="1" ht="13.5" customHeight="1">
      <c r="A28" s="954" t="s">
        <v>790</v>
      </c>
      <c r="B28" s="292" t="s">
        <v>2358</v>
      </c>
      <c r="C28" s="293">
        <f ca="1">ROUND((C5+C19+C20)*F27*'数据-取费表'!B21/'数据-取费表'!B20,0)</f>
        <v>177</v>
      </c>
      <c r="D28" s="279"/>
      <c r="E28" s="280"/>
      <c r="F28" s="290"/>
      <c r="G28" s="291"/>
    </row>
    <row r="29" spans="1:7" s="258" customFormat="1" ht="13.5" customHeight="1">
      <c r="A29" s="954" t="s">
        <v>791</v>
      </c>
      <c r="B29" s="292" t="s">
        <v>2359</v>
      </c>
      <c r="C29" s="282">
        <f ca="1">ROUND(C21*F27*'数据-取费表'!B21/'数据-取费表'!B20,4)</f>
        <v>2E-3</v>
      </c>
      <c r="D29" s="279"/>
      <c r="E29" s="280"/>
      <c r="F29" s="290"/>
      <c r="G29" s="291"/>
    </row>
    <row r="30" spans="1:7" s="258" customFormat="1" ht="13.5" customHeight="1">
      <c r="A30" s="299" t="s">
        <v>2360</v>
      </c>
      <c r="B30" s="254" t="s">
        <v>2361</v>
      </c>
      <c r="C30" s="279">
        <f>ROUND(F30/(1+'数据-取费表'!C42),4)</f>
        <v>5.2400000000000002E-2</v>
      </c>
      <c r="D30" s="280" t="s">
        <v>2356</v>
      </c>
      <c r="E30" s="285"/>
      <c r="F30" s="281">
        <f>'数据-取费表'!B41</f>
        <v>5.5000000000000007E-2</v>
      </c>
      <c r="G30" s="278" t="s">
        <v>2362</v>
      </c>
    </row>
    <row r="31" spans="1:7" ht="16.5" customHeight="1">
      <c r="A31" s="253">
        <v>1</v>
      </c>
      <c r="B31" s="254" t="s">
        <v>2363</v>
      </c>
      <c r="C31" s="255">
        <f ca="1">ROUND((C5+C19+C20+C22+C27)/(1-C21-D22-D27-C30),0)</f>
        <v>2187</v>
      </c>
      <c r="D31" s="274"/>
      <c r="E31" s="255"/>
      <c r="F31" s="294"/>
      <c r="G31" s="278" t="s">
        <v>2364</v>
      </c>
    </row>
    <row r="32" spans="1:7" s="252" customFormat="1" ht="15.75">
      <c r="A32" s="296" t="s">
        <v>2365</v>
      </c>
      <c r="B32" s="297"/>
      <c r="C32" s="297"/>
      <c r="D32" s="297"/>
      <c r="E32" s="297"/>
      <c r="F32" s="297"/>
      <c r="G32" s="298"/>
    </row>
    <row r="33" spans="1:7" s="258" customFormat="1" ht="13.5" customHeight="1">
      <c r="A33" s="299" t="s">
        <v>781</v>
      </c>
      <c r="B33" s="254" t="s">
        <v>2366</v>
      </c>
      <c r="C33" s="300">
        <f ca="1">SUM(C34:C38)</f>
        <v>4597</v>
      </c>
      <c r="D33" s="276"/>
      <c r="E33" s="256"/>
      <c r="F33" s="285"/>
      <c r="G33" s="278"/>
    </row>
    <row r="34" spans="1:7" s="302" customFormat="1" ht="13.5" customHeight="1">
      <c r="A34" s="954" t="s">
        <v>790</v>
      </c>
      <c r="B34" s="259" t="s">
        <v>2367</v>
      </c>
      <c r="C34" s="264">
        <f ca="1">IF(B1="",IF(F34=100%,'数据-取费表'!M16,'数据-取费表'!O16),IF(F34=100%,INDIRECT("'数据-取费表'!m"&amp;$G$1)+INDIRECT("'数据-取费表'!t"&amp;$G$1),INDIRECT("'数据-取费表'!o"&amp;$G$1)+INDIRECT("'数据-取费表'!aq"&amp;$G$1)))</f>
        <v>4087</v>
      </c>
      <c r="D34" s="261"/>
      <c r="E34" s="264"/>
      <c r="F34" s="301">
        <f ca="1">IF('数据-取费表'!B24=0,1,IF(B1="",'数据-取费表'!N16,INDIRECT("'数据-取费表'!n"&amp;$G$1)))</f>
        <v>1</v>
      </c>
      <c r="G34" s="263" t="s">
        <v>2368</v>
      </c>
    </row>
    <row r="35" spans="1:7" ht="13.5" customHeight="1">
      <c r="A35" s="954" t="s">
        <v>795</v>
      </c>
      <c r="B35" s="259" t="s">
        <v>2369</v>
      </c>
      <c r="C35" s="264">
        <f ca="1">ROUND(C34*F35,0)</f>
        <v>204</v>
      </c>
      <c r="D35" s="264"/>
      <c r="E35" s="264"/>
      <c r="F35" s="303">
        <f>'数据-取费表'!B33</f>
        <v>0.05</v>
      </c>
      <c r="G35" s="263" t="s">
        <v>2370</v>
      </c>
    </row>
    <row r="36" spans="1:7" ht="24">
      <c r="A36" s="954" t="s">
        <v>796</v>
      </c>
      <c r="B36" s="259" t="s">
        <v>2371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2372</v>
      </c>
    </row>
    <row r="37" spans="1:7" s="302" customFormat="1" ht="13.5" customHeight="1">
      <c r="A37" s="954" t="s">
        <v>797</v>
      </c>
      <c r="B37" s="259" t="s">
        <v>2373</v>
      </c>
      <c r="C37" s="293">
        <f ca="1">ROUND(E37*D37*F34/10000,0)</f>
        <v>245</v>
      </c>
      <c r="D37" s="261">
        <f ca="1">D19</f>
        <v>16346.349999999999</v>
      </c>
      <c r="E37" s="293">
        <f>'数据-取费表'!B35</f>
        <v>150</v>
      </c>
      <c r="F37" s="303"/>
      <c r="G37" s="305" t="s">
        <v>2374</v>
      </c>
    </row>
    <row r="38" spans="1:7" ht="13.5" customHeight="1">
      <c r="A38" s="954" t="s">
        <v>798</v>
      </c>
      <c r="B38" s="259" t="s">
        <v>2375</v>
      </c>
      <c r="C38" s="264">
        <f ca="1">ROUND(C34*F38,0)</f>
        <v>61</v>
      </c>
      <c r="D38" s="264"/>
      <c r="E38" s="264"/>
      <c r="F38" s="303">
        <f>'数据-取费表'!B36</f>
        <v>1.4999999999999999E-2</v>
      </c>
      <c r="G38" s="263" t="s">
        <v>2370</v>
      </c>
    </row>
    <row r="39" spans="1:7" s="258" customFormat="1" ht="13.5" customHeight="1">
      <c r="A39" s="299" t="s">
        <v>2376</v>
      </c>
      <c r="B39" s="254" t="s">
        <v>2377</v>
      </c>
      <c r="C39" s="276">
        <f ca="1">ROUND(C33*F20,0)</f>
        <v>92</v>
      </c>
      <c r="D39" s="276"/>
      <c r="E39" s="276"/>
      <c r="F39" s="277"/>
      <c r="G39" s="278" t="s">
        <v>2378</v>
      </c>
    </row>
    <row r="40" spans="1:7" s="258" customFormat="1" ht="13.5" customHeight="1">
      <c r="A40" s="299" t="s">
        <v>2379</v>
      </c>
      <c r="B40" s="254" t="s">
        <v>2380</v>
      </c>
      <c r="C40" s="1731">
        <f>F21</f>
        <v>0.02</v>
      </c>
      <c r="D40" s="280" t="s">
        <v>2381</v>
      </c>
      <c r="E40" s="276"/>
      <c r="F40" s="277"/>
      <c r="G40" s="278" t="s">
        <v>2382</v>
      </c>
    </row>
    <row r="41" spans="1:7" s="258" customFormat="1" ht="13.5" customHeight="1">
      <c r="A41" s="299" t="s">
        <v>2383</v>
      </c>
      <c r="B41" s="254" t="s">
        <v>2384</v>
      </c>
      <c r="C41" s="276">
        <f ca="1">ROUND(SUM(C42:C43),0)</f>
        <v>102</v>
      </c>
      <c r="D41" s="279">
        <f ca="1">C44</f>
        <v>4.0000000000000002E-4</v>
      </c>
      <c r="E41" s="280" t="s">
        <v>2381</v>
      </c>
      <c r="F41" s="281"/>
      <c r="G41" s="278" t="str">
        <f>IF('数据-取费表'!B22&lt;=1,"单利计息","复利计息")</f>
        <v>单利计息</v>
      </c>
    </row>
    <row r="42" spans="1:7" ht="13.5" customHeight="1">
      <c r="A42" s="954" t="s">
        <v>790</v>
      </c>
      <c r="B42" s="259" t="s">
        <v>2385</v>
      </c>
      <c r="C42" s="282">
        <f ca="1">ROUND(IF('数据-取费表'!B22&lt;=1,C33*F22*'数据-取费表'!B21/2,C33*(POWER((1+F22),'数据-取费表'!B21/2)-1)),0)</f>
        <v>100</v>
      </c>
      <c r="D42" s="282"/>
      <c r="E42" s="282"/>
      <c r="F42" s="283"/>
      <c r="G42" s="3138" t="s">
        <v>2386</v>
      </c>
    </row>
    <row r="43" spans="1:7" ht="13.5" customHeight="1">
      <c r="A43" s="954" t="s">
        <v>791</v>
      </c>
      <c r="B43" s="259" t="s">
        <v>2387</v>
      </c>
      <c r="C43" s="282">
        <f ca="1">ROUND(IF('数据-取费表'!B22&lt;=1,C39*F22*'数据-取费表'!B21/2,C39*(POWER((1+F22),'数据-取费表'!B21/2)-1)),0)</f>
        <v>2</v>
      </c>
      <c r="D43" s="282"/>
      <c r="E43" s="282"/>
      <c r="F43" s="283"/>
      <c r="G43" s="3139"/>
    </row>
    <row r="44" spans="1:7" ht="13.5" customHeight="1">
      <c r="A44" s="954" t="s">
        <v>792</v>
      </c>
      <c r="B44" s="259" t="s">
        <v>2388</v>
      </c>
      <c r="C44" s="282">
        <f ca="1">ROUND(IF('数据-取费表'!B22&lt;=1,C40*F22*'数据-取费表'!B21/2,C40*(POWER((1+F22),'数据-取费表'!B21/2)-1)),4)</f>
        <v>4.0000000000000002E-4</v>
      </c>
      <c r="D44" s="282"/>
      <c r="E44" s="282"/>
      <c r="F44" s="283"/>
      <c r="G44" s="3140"/>
    </row>
    <row r="45" spans="1:7" s="258" customFormat="1" ht="13.5" customHeight="1">
      <c r="A45" s="299" t="s">
        <v>2389</v>
      </c>
      <c r="B45" s="288" t="s">
        <v>2355</v>
      </c>
      <c r="C45" s="289">
        <f ca="1">C46</f>
        <v>469</v>
      </c>
      <c r="D45" s="279">
        <f ca="1">C47</f>
        <v>2E-3</v>
      </c>
      <c r="E45" s="280" t="s">
        <v>2381</v>
      </c>
      <c r="F45" s="290"/>
      <c r="G45" s="291" t="s">
        <v>2390</v>
      </c>
    </row>
    <row r="46" spans="1:7" s="258" customFormat="1" ht="13.5" customHeight="1">
      <c r="A46" s="954" t="s">
        <v>790</v>
      </c>
      <c r="B46" s="292" t="s">
        <v>2391</v>
      </c>
      <c r="C46" s="293">
        <f ca="1">ROUND((C33+C39)*F27,0)</f>
        <v>469</v>
      </c>
      <c r="D46" s="307"/>
      <c r="E46" s="280"/>
      <c r="F46" s="290"/>
      <c r="G46" s="291"/>
    </row>
    <row r="47" spans="1:7" s="258" customFormat="1" ht="13.5" customHeight="1">
      <c r="A47" s="954" t="s">
        <v>791</v>
      </c>
      <c r="B47" s="292" t="s">
        <v>2392</v>
      </c>
      <c r="C47" s="282">
        <f ca="1">ROUND(C40*F27,4)</f>
        <v>2E-3</v>
      </c>
      <c r="D47" s="307"/>
      <c r="E47" s="280"/>
      <c r="F47" s="290"/>
      <c r="G47" s="291"/>
    </row>
    <row r="48" spans="1:7" s="258" customFormat="1" ht="13.5" customHeight="1">
      <c r="A48" s="299" t="s">
        <v>2354</v>
      </c>
      <c r="B48" s="254" t="s">
        <v>2393</v>
      </c>
      <c r="C48" s="1731">
        <f>ROUND(F30/(1+'数据-取费表'!C42),4)</f>
        <v>5.2400000000000002E-2</v>
      </c>
      <c r="D48" s="280" t="s">
        <v>2381</v>
      </c>
      <c r="E48" s="276"/>
      <c r="F48" s="281"/>
      <c r="G48" s="278" t="s">
        <v>2394</v>
      </c>
    </row>
    <row r="49" spans="1:7" ht="16.5" customHeight="1">
      <c r="A49" s="299" t="s">
        <v>2360</v>
      </c>
      <c r="B49" s="254" t="s">
        <v>2395</v>
      </c>
      <c r="C49" s="276">
        <f ca="1">ROUND((C33+C39+C41+C45)/(1-C40-D41-D45-C48),0)</f>
        <v>5685</v>
      </c>
      <c r="D49" s="276"/>
      <c r="E49" s="276"/>
      <c r="F49" s="308"/>
      <c r="G49" s="278" t="s">
        <v>2396</v>
      </c>
    </row>
    <row r="50" spans="1:7" s="302" customFormat="1" ht="24">
      <c r="A50" s="299" t="s">
        <v>2397</v>
      </c>
      <c r="B50" s="254" t="s">
        <v>2398</v>
      </c>
      <c r="C50" s="276"/>
      <c r="D50" s="276"/>
      <c r="E50" s="276"/>
      <c r="F50" s="308">
        <f>IF('数据-取费表'!B24=0,'数据-取费表'!N16,1)</f>
        <v>0.94</v>
      </c>
      <c r="G50" s="291" t="s">
        <v>2399</v>
      </c>
    </row>
    <row r="51" spans="1:7" ht="16.5" customHeight="1">
      <c r="A51" s="299" t="s">
        <v>2400</v>
      </c>
      <c r="B51" s="254" t="s">
        <v>2401</v>
      </c>
      <c r="C51" s="276">
        <f ca="1">ROUND(C49*F50,0)</f>
        <v>5344</v>
      </c>
      <c r="D51" s="276"/>
      <c r="E51" s="276"/>
      <c r="F51" s="308"/>
      <c r="G51" s="278" t="s">
        <v>2402</v>
      </c>
    </row>
    <row r="52" spans="1:7" s="252" customFormat="1" ht="16.5" thickBot="1">
      <c r="A52" s="309" t="s">
        <v>2403</v>
      </c>
      <c r="B52" s="310"/>
      <c r="C52" s="311">
        <f ca="1">C31+C51</f>
        <v>7531</v>
      </c>
      <c r="D52" s="310"/>
      <c r="E52" s="310"/>
      <c r="F52" s="310"/>
      <c r="G52" s="312"/>
    </row>
    <row r="55" spans="1:7" ht="15">
      <c r="B55" s="314" t="s">
        <v>2404</v>
      </c>
      <c r="C55" s="315"/>
    </row>
    <row r="56" spans="1:7">
      <c r="B56" s="317" t="s">
        <v>1512</v>
      </c>
      <c r="C56" s="319">
        <f ca="1">1-C57</f>
        <v>0.29000000000000004</v>
      </c>
    </row>
    <row r="57" spans="1:7">
      <c r="B57" s="317" t="s">
        <v>1513</v>
      </c>
      <c r="C57" s="318">
        <f ca="1">ROUND(C51/C52,3)</f>
        <v>0.71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52" t="str">
        <f>项目基本情况!B1</f>
        <v>北京市顺义区白马路马坡段60号院1-6幢工业用房房地产抵押价值预评估</v>
      </c>
      <c r="C37" s="2952"/>
      <c r="D37" s="2952"/>
      <c r="E37" s="2952"/>
      <c r="F37" s="2952"/>
      <c r="G37" s="2952"/>
      <c r="H37" s="2952"/>
      <c r="I37" s="2952"/>
    </row>
    <row r="38" spans="1:9">
      <c r="A38" s="1019"/>
      <c r="B38" s="1019"/>
    </row>
    <row r="39" spans="1:9">
      <c r="A39" s="1017" t="s">
        <v>817</v>
      </c>
      <c r="B39" s="1017" t="s">
        <v>819</v>
      </c>
    </row>
    <row r="40" spans="1:9">
      <c r="A40" s="1017"/>
      <c r="B40" s="1945" t="str">
        <f>项目基本情况!B5</f>
        <v>北京星箭长空测控技术股份有限公司</v>
      </c>
    </row>
    <row r="41" spans="1:9">
      <c r="A41" s="1017"/>
      <c r="B41" s="1017"/>
    </row>
    <row r="42" spans="1:9">
      <c r="A42" s="1017" t="s">
        <v>817</v>
      </c>
      <c r="B42" s="1017" t="s">
        <v>820</v>
      </c>
    </row>
    <row r="43" spans="1:9">
      <c r="A43" s="1017"/>
      <c r="B43" s="1945" t="s">
        <v>821</v>
      </c>
    </row>
    <row r="44" spans="1:9">
      <c r="A44" s="1017"/>
      <c r="B44" s="1017"/>
    </row>
    <row r="45" spans="1:9">
      <c r="A45" s="1017" t="s">
        <v>817</v>
      </c>
      <c r="B45" s="1017" t="s">
        <v>822</v>
      </c>
    </row>
    <row r="46" spans="1:9" s="1017" customFormat="1" ht="12.75">
      <c r="B46" s="1945" t="str">
        <f ca="1">项目基本情况!K4</f>
        <v>梁津（注册号：1119970066)、欧红伟（注册号：1120000080)</v>
      </c>
    </row>
    <row r="47" spans="1:9">
      <c r="A47" s="1017"/>
      <c r="B47" s="1017" t="str">
        <f>项目基本情况!K5</f>
        <v/>
      </c>
    </row>
    <row r="48" spans="1:9">
      <c r="A48" s="1017" t="s">
        <v>817</v>
      </c>
      <c r="B48" s="1017" t="s">
        <v>823</v>
      </c>
    </row>
    <row r="49" spans="2:2">
      <c r="B49" s="1945" t="str">
        <f>"康正预评字"&amp;项目基本情况!B2&amp;"号"</f>
        <v>康正预评字2018-1-E000257号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2303</v>
      </c>
      <c r="B1" s="1940"/>
      <c r="C1" s="2557" t="s">
        <v>2405</v>
      </c>
      <c r="D1" s="242"/>
      <c r="E1" s="242"/>
      <c r="F1" s="242"/>
      <c r="G1" s="1382">
        <f>MATCH(B1,'数据-取费表'!A6:A16,0)+5</f>
        <v>7</v>
      </c>
      <c r="H1" s="1285" t="str">
        <f>IF(ISERROR(FIND("住宅",B1)),"非住宅","住宅")</f>
        <v>非住宅</v>
      </c>
    </row>
    <row r="2" spans="1:8" s="244" customFormat="1" ht="18" customHeight="1">
      <c r="A2" s="245" t="s">
        <v>2304</v>
      </c>
      <c r="B2" s="246">
        <f ca="1">ROUND(IF(D2="——",C52/10000,C52/10000-E2),0)</f>
        <v>5756</v>
      </c>
      <c r="C2" s="243" t="s">
        <v>2305</v>
      </c>
      <c r="D2" s="2551" t="s">
        <v>69</v>
      </c>
      <c r="E2" s="1443" t="e">
        <f ca="1">SUMIF(INDIRECT("'"&amp;G2&amp;"'"&amp;"!A:A"),"承租人权益价值",INDIRECT("'"&amp;G2&amp;"'"&amp;"!c:c"))</f>
        <v>#REF!</v>
      </c>
      <c r="F2" s="2552" t="s">
        <v>2305</v>
      </c>
      <c r="G2" s="2553"/>
    </row>
    <row r="3" spans="1:8" s="244" customFormat="1" ht="18" customHeight="1" thickBot="1">
      <c r="A3" s="247" t="s">
        <v>2306</v>
      </c>
      <c r="B3" s="248">
        <f ca="1">ROUND(B2*10000/(IF(B1="",'数据-汇总表'!E3,INDIRECT("'数据-取费表'!k"&amp;$G$1))),0)</f>
        <v>3521</v>
      </c>
      <c r="C3" s="243" t="s">
        <v>2307</v>
      </c>
      <c r="D3" s="243"/>
      <c r="E3" s="243"/>
      <c r="F3" s="243"/>
      <c r="G3" s="243"/>
    </row>
    <row r="4" spans="1:8" s="252" customFormat="1" ht="15.75">
      <c r="A4" s="249" t="s">
        <v>2308</v>
      </c>
      <c r="B4" s="250"/>
      <c r="C4" s="250"/>
      <c r="D4" s="250"/>
      <c r="E4" s="250"/>
      <c r="F4" s="250"/>
      <c r="G4" s="251"/>
    </row>
    <row r="5" spans="1:8" s="258" customFormat="1" ht="13.5" customHeight="1">
      <c r="A5" s="299" t="s">
        <v>2309</v>
      </c>
      <c r="B5" s="254" t="s">
        <v>2310</v>
      </c>
      <c r="C5" s="255">
        <f ca="1">C6+C7+C8</f>
        <v>0</v>
      </c>
      <c r="D5" s="255" t="s">
        <v>2311</v>
      </c>
      <c r="E5" s="256" t="s">
        <v>2312</v>
      </c>
      <c r="F5" s="256" t="s">
        <v>2313</v>
      </c>
      <c r="G5" s="257"/>
    </row>
    <row r="6" spans="1:8" s="258" customFormat="1" ht="13.5" customHeight="1">
      <c r="A6" s="952" t="s">
        <v>2314</v>
      </c>
      <c r="B6" s="259" t="s">
        <v>2315</v>
      </c>
      <c r="C6" s="260"/>
      <c r="D6" s="261"/>
      <c r="E6" s="262"/>
      <c r="F6" s="262"/>
      <c r="G6" s="263"/>
    </row>
    <row r="7" spans="1:8" s="258" customFormat="1" ht="13.5" customHeight="1">
      <c r="A7" s="952" t="s">
        <v>2316</v>
      </c>
      <c r="B7" s="259" t="s">
        <v>2317</v>
      </c>
      <c r="C7" s="264">
        <f>ROUND(C6*F7,0)</f>
        <v>0</v>
      </c>
      <c r="D7" s="264"/>
      <c r="E7" s="262"/>
      <c r="F7" s="265">
        <f>'数据-取费表'!B48+'数据-取费表'!B49</f>
        <v>3.0499999999999999E-2</v>
      </c>
      <c r="G7" s="263"/>
    </row>
    <row r="8" spans="1:8" s="267" customFormat="1">
      <c r="A8" s="952" t="s">
        <v>2318</v>
      </c>
      <c r="B8" s="259" t="s">
        <v>2319</v>
      </c>
      <c r="C8" s="264">
        <f ca="1">IF(G8="已包含在土地购买价格中",0,C9+C10)</f>
        <v>0</v>
      </c>
      <c r="D8" s="266"/>
      <c r="E8" s="264"/>
      <c r="F8" s="265"/>
      <c r="G8" s="2554"/>
    </row>
    <row r="9" spans="1:8" s="258" customFormat="1" ht="13.5" customHeight="1">
      <c r="A9" s="953" t="s">
        <v>799</v>
      </c>
      <c r="B9" s="268" t="s">
        <v>2320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800</v>
      </c>
      <c r="B10" s="268" t="s">
        <v>2322</v>
      </c>
      <c r="C10" s="269">
        <f ca="1">ROUND(D10*E10,0)</f>
        <v>0</v>
      </c>
      <c r="D10" s="1035">
        <f ca="1">IF(B1="",'数据-汇总表'!E6,IF(INDIRECT("'数据-取费表'!c"&amp;$G$1)="住宅",INDIRECT("'数据-取费表'!s"&amp;$G$1),INDIRECT("'数据-取费表'!k"&amp;$G$1)+INDIRECT("'数据-取费表'!s"&amp;$G$1)))</f>
        <v>16346.349999999999</v>
      </c>
      <c r="E10" s="269">
        <f>'数据-取费表'!B28</f>
        <v>0</v>
      </c>
      <c r="F10" s="265"/>
      <c r="G10" s="270"/>
    </row>
    <row r="11" spans="1:8" s="258" customFormat="1" ht="13.5" hidden="1" customHeight="1">
      <c r="A11" s="271" t="s">
        <v>7</v>
      </c>
      <c r="B11" s="259" t="s">
        <v>2323</v>
      </c>
      <c r="C11" s="255"/>
      <c r="D11" s="1037"/>
      <c r="E11" s="262"/>
      <c r="F11" s="262"/>
      <c r="G11" s="263"/>
    </row>
    <row r="12" spans="1:8" s="258" customFormat="1" ht="13.5" hidden="1" customHeight="1">
      <c r="A12" s="271" t="s">
        <v>8</v>
      </c>
      <c r="B12" s="259" t="s">
        <v>2406</v>
      </c>
      <c r="C12" s="255">
        <v>0</v>
      </c>
      <c r="D12" s="1037"/>
      <c r="E12" s="272"/>
      <c r="F12" s="265">
        <v>3.0499999999999999E-2</v>
      </c>
      <c r="G12" s="263"/>
    </row>
    <row r="13" spans="1:8" s="258" customFormat="1" ht="13.5" hidden="1" customHeight="1">
      <c r="A13" s="271" t="s">
        <v>9</v>
      </c>
      <c r="B13" s="259" t="s">
        <v>2407</v>
      </c>
      <c r="C13" s="255"/>
      <c r="D13" s="1037"/>
      <c r="E13" s="262"/>
      <c r="F13" s="262"/>
      <c r="G13" s="263"/>
    </row>
    <row r="14" spans="1:8" s="258" customFormat="1" ht="13.5" hidden="1" customHeight="1">
      <c r="A14" s="271" t="s">
        <v>10</v>
      </c>
      <c r="B14" s="259" t="s">
        <v>2319</v>
      </c>
      <c r="C14" s="255"/>
      <c r="D14" s="1037"/>
      <c r="E14" s="262"/>
      <c r="F14" s="262"/>
      <c r="G14" s="263" t="s">
        <v>2408</v>
      </c>
    </row>
    <row r="15" spans="1:8" s="258" customFormat="1" ht="13.5" hidden="1" customHeight="1">
      <c r="A15" s="271" t="s">
        <v>11</v>
      </c>
      <c r="B15" s="259" t="s">
        <v>2409</v>
      </c>
      <c r="C15" s="264"/>
      <c r="D15" s="1037"/>
      <c r="E15" s="262"/>
      <c r="F15" s="262"/>
      <c r="G15" s="263" t="s">
        <v>2410</v>
      </c>
    </row>
    <row r="16" spans="1:8" s="258" customFormat="1" ht="13.5" hidden="1" customHeight="1">
      <c r="A16" s="271" t="s">
        <v>12</v>
      </c>
      <c r="B16" s="259" t="s">
        <v>2319</v>
      </c>
      <c r="C16" s="264"/>
      <c r="D16" s="1037"/>
      <c r="E16" s="262"/>
      <c r="F16" s="262"/>
      <c r="G16" s="263"/>
    </row>
    <row r="17" spans="1:7" s="258" customFormat="1" ht="13.5" hidden="1" customHeight="1">
      <c r="A17" s="271" t="s">
        <v>13</v>
      </c>
      <c r="B17" s="259" t="s">
        <v>2411</v>
      </c>
      <c r="C17" s="273"/>
      <c r="D17" s="1038"/>
      <c r="E17" s="273"/>
      <c r="F17" s="273"/>
      <c r="G17" s="263" t="s">
        <v>2410</v>
      </c>
    </row>
    <row r="18" spans="1:7" s="258" customFormat="1" ht="13.5" hidden="1" customHeight="1">
      <c r="A18" s="271" t="s">
        <v>14</v>
      </c>
      <c r="B18" s="259" t="s">
        <v>2412</v>
      </c>
      <c r="C18" s="264">
        <v>0</v>
      </c>
      <c r="D18" s="1037"/>
      <c r="E18" s="262"/>
      <c r="F18" s="265">
        <v>3.0499999999999999E-2</v>
      </c>
      <c r="G18" s="263" t="s">
        <v>2413</v>
      </c>
    </row>
    <row r="19" spans="1:7" s="267" customFormat="1" ht="13.5" customHeight="1">
      <c r="A19" s="299" t="s">
        <v>2414</v>
      </c>
      <c r="B19" s="254" t="s">
        <v>2415</v>
      </c>
      <c r="C19" s="255">
        <f ca="1">IF(G19="已包含在土地取得成本中","0",ROUND(D19*E19,0))</f>
        <v>3269270</v>
      </c>
      <c r="D19" s="1039">
        <f ca="1">D9+D10</f>
        <v>16346.349999999999</v>
      </c>
      <c r="E19" s="255">
        <f>'数据-取费表'!B31</f>
        <v>200</v>
      </c>
      <c r="F19" s="275"/>
      <c r="G19" s="2554"/>
    </row>
    <row r="20" spans="1:7" s="258" customFormat="1" ht="13.5" customHeight="1">
      <c r="A20" s="299" t="s">
        <v>2416</v>
      </c>
      <c r="B20" s="254" t="s">
        <v>2417</v>
      </c>
      <c r="C20" s="276">
        <f ca="1">ROUND((C5+C19)*F20,0)</f>
        <v>65385</v>
      </c>
      <c r="D20" s="276"/>
      <c r="E20" s="276"/>
      <c r="F20" s="277">
        <f>'数据-取费表'!B37</f>
        <v>0.02</v>
      </c>
      <c r="G20" s="278" t="s">
        <v>2418</v>
      </c>
    </row>
    <row r="21" spans="1:7" s="258" customFormat="1" ht="13.5" customHeight="1">
      <c r="A21" s="299" t="s">
        <v>2419</v>
      </c>
      <c r="B21" s="254" t="s">
        <v>2420</v>
      </c>
      <c r="C21" s="279">
        <f>F21</f>
        <v>0.02</v>
      </c>
      <c r="D21" s="280" t="s">
        <v>2421</v>
      </c>
      <c r="E21" s="276"/>
      <c r="F21" s="277">
        <f>'数据-取费表'!B38</f>
        <v>0.02</v>
      </c>
      <c r="G21" s="278" t="s">
        <v>2422</v>
      </c>
    </row>
    <row r="22" spans="1:7" s="258" customFormat="1" ht="13.5" customHeight="1">
      <c r="A22" s="299" t="s">
        <v>2423</v>
      </c>
      <c r="B22" s="254" t="s">
        <v>2424</v>
      </c>
      <c r="C22" s="1383">
        <f ca="1">ROUND(SUM(C23:C25),0)</f>
        <v>143635</v>
      </c>
      <c r="D22" s="279">
        <f ca="1">C26</f>
        <v>4.0000000000000002E-4</v>
      </c>
      <c r="E22" s="280" t="s">
        <v>2421</v>
      </c>
      <c r="F22" s="281">
        <f ca="1">'数据-取费表'!B40</f>
        <v>4.3499999999999997E-2</v>
      </c>
      <c r="G22" s="278" t="str">
        <f>IF('数据-取费表'!B22&lt;=1,"单利计息","复利计息")</f>
        <v>单利计息</v>
      </c>
    </row>
    <row r="23" spans="1:7" s="258" customFormat="1" ht="13.5" customHeight="1">
      <c r="A23" s="954" t="s">
        <v>2314</v>
      </c>
      <c r="B23" s="259" t="s">
        <v>2425</v>
      </c>
      <c r="C23" s="1384">
        <f ca="1">ROUND(IF('数据-取费表'!B22&lt;=1,C5*F22*'数据-取费表'!B22,C5*(POWER((1+F22),'数据-取费表'!B22)-1)),0)</f>
        <v>0</v>
      </c>
      <c r="D23" s="282"/>
      <c r="E23" s="282"/>
      <c r="F23" s="283"/>
      <c r="G23" s="284" t="s">
        <v>2426</v>
      </c>
    </row>
    <row r="24" spans="1:7" s="258" customFormat="1" ht="13.5" customHeight="1">
      <c r="A24" s="954" t="s">
        <v>2316</v>
      </c>
      <c r="B24" s="259" t="s">
        <v>2427</v>
      </c>
      <c r="C24" s="1384">
        <f ca="1">ROUND(IF('数据-取费表'!B22&lt;=1,C19*F22*('数据-取费表'!B19/2+'数据-取费表'!B20),C19*(POWER((1+F22),('数据-取费表'!B19/2+'数据-取费表'!B20))-1)),0)</f>
        <v>142213</v>
      </c>
      <c r="D24" s="282"/>
      <c r="E24" s="282"/>
      <c r="F24" s="283"/>
      <c r="G24" s="284" t="s">
        <v>2428</v>
      </c>
    </row>
    <row r="25" spans="1:7" s="258" customFormat="1" ht="24">
      <c r="A25" s="954" t="s">
        <v>2318</v>
      </c>
      <c r="B25" s="259" t="s">
        <v>2429</v>
      </c>
      <c r="C25" s="1384">
        <f ca="1">ROUND(IF('数据-取费表'!B22&lt;=1,C20*F22*'数据-取费表'!B22/2,C20*(POWER((1+F22),'数据-取费表'!B22/2)-1)),0)</f>
        <v>1422</v>
      </c>
      <c r="D25" s="282"/>
      <c r="E25" s="285"/>
      <c r="F25" s="283"/>
      <c r="G25" s="286" t="s">
        <v>2430</v>
      </c>
    </row>
    <row r="26" spans="1:7" s="258" customFormat="1">
      <c r="A26" s="954" t="s">
        <v>794</v>
      </c>
      <c r="B26" s="259" t="s">
        <v>2353</v>
      </c>
      <c r="C26" s="282">
        <f ca="1">ROUND(IF('数据-取费表'!B22&lt;=1,F21*F22*'数据-取费表'!B22/2,F21*(POWER((1+F22),'数据-取费表'!B22/2)-1)),4)</f>
        <v>4.0000000000000002E-4</v>
      </c>
      <c r="D26" s="282"/>
      <c r="E26" s="285"/>
      <c r="F26" s="283"/>
      <c r="G26" s="287"/>
    </row>
    <row r="27" spans="1:7" s="258" customFormat="1" ht="24.75">
      <c r="A27" s="299" t="s">
        <v>2354</v>
      </c>
      <c r="B27" s="288" t="s">
        <v>2355</v>
      </c>
      <c r="C27" s="289">
        <f ca="1">C28</f>
        <v>333466</v>
      </c>
      <c r="D27" s="279">
        <f ca="1">C29</f>
        <v>2E-3</v>
      </c>
      <c r="E27" s="280" t="s">
        <v>2356</v>
      </c>
      <c r="F27" s="290">
        <f ca="1">IF(B1="",'数据-取费表'!Q16,INDIRECT("'数据-取费表'!q"&amp;$G$1))</f>
        <v>0.1</v>
      </c>
      <c r="G27" s="291" t="s">
        <v>2357</v>
      </c>
    </row>
    <row r="28" spans="1:7" s="258" customFormat="1" ht="13.5" customHeight="1">
      <c r="A28" s="954" t="s">
        <v>790</v>
      </c>
      <c r="B28" s="292" t="s">
        <v>2358</v>
      </c>
      <c r="C28" s="293">
        <f ca="1">ROUND((C5+C19+C20)*F27,0)</f>
        <v>333466</v>
      </c>
      <c r="D28" s="279"/>
      <c r="E28" s="280"/>
      <c r="F28" s="290"/>
      <c r="G28" s="291"/>
    </row>
    <row r="29" spans="1:7" s="258" customFormat="1" ht="13.5" customHeight="1">
      <c r="A29" s="954" t="s">
        <v>791</v>
      </c>
      <c r="B29" s="292" t="s">
        <v>2359</v>
      </c>
      <c r="C29" s="282">
        <f ca="1">ROUND(C21*F27,4)</f>
        <v>2E-3</v>
      </c>
      <c r="D29" s="279"/>
      <c r="E29" s="280"/>
      <c r="F29" s="290"/>
      <c r="G29" s="291"/>
    </row>
    <row r="30" spans="1:7" s="258" customFormat="1" ht="13.5" customHeight="1">
      <c r="A30" s="299" t="s">
        <v>2360</v>
      </c>
      <c r="B30" s="254" t="s">
        <v>2361</v>
      </c>
      <c r="C30" s="279">
        <f>ROUND(F30/(1+'数据-取费表'!C42),4)</f>
        <v>5.2400000000000002E-2</v>
      </c>
      <c r="D30" s="280" t="s">
        <v>2356</v>
      </c>
      <c r="E30" s="285"/>
      <c r="F30" s="281">
        <f>'数据-取费表'!B41</f>
        <v>5.5000000000000007E-2</v>
      </c>
      <c r="G30" s="278" t="s">
        <v>2362</v>
      </c>
    </row>
    <row r="31" spans="1:7" ht="16.5" customHeight="1">
      <c r="A31" s="253">
        <v>1</v>
      </c>
      <c r="B31" s="254" t="s">
        <v>2363</v>
      </c>
      <c r="C31" s="255">
        <f ca="1">ROUND((C5+C19+C20+C22+C27)/(1-C21-D22-D27-C30),0)</f>
        <v>4119927</v>
      </c>
      <c r="D31" s="274"/>
      <c r="E31" s="255"/>
      <c r="F31" s="294"/>
      <c r="G31" s="278" t="s">
        <v>2364</v>
      </c>
    </row>
    <row r="32" spans="1:7" s="252" customFormat="1" ht="15.75">
      <c r="A32" s="296" t="s">
        <v>2431</v>
      </c>
      <c r="B32" s="297"/>
      <c r="C32" s="297"/>
      <c r="D32" s="297"/>
      <c r="E32" s="297"/>
      <c r="F32" s="297"/>
      <c r="G32" s="298"/>
    </row>
    <row r="33" spans="1:7" s="258" customFormat="1" ht="13.5" customHeight="1">
      <c r="A33" s="299" t="s">
        <v>781</v>
      </c>
      <c r="B33" s="254" t="s">
        <v>2432</v>
      </c>
      <c r="C33" s="300">
        <f ca="1">SUM(C34:C38)</f>
        <v>45974110</v>
      </c>
      <c r="D33" s="276"/>
      <c r="E33" s="256"/>
      <c r="F33" s="285"/>
      <c r="G33" s="278"/>
    </row>
    <row r="34" spans="1:7" s="302" customFormat="1" ht="13.5" customHeight="1">
      <c r="A34" s="954" t="s">
        <v>790</v>
      </c>
      <c r="B34" s="259" t="s">
        <v>2367</v>
      </c>
      <c r="C34" s="264">
        <f ca="1">ROUND(IF(B1="",SUMPRODUCT('数据-取费表'!K6:K14,'数据-取费表'!L6:L14),INDIRECT("'数据-取费表'!l"&amp;$G$1)*INDIRECT("'数据-取费表'!k"&amp;$G$1)+'数据-取费表'!L14*INDIRECT("'数据-取费表'!S"&amp;$G$1)),0)</f>
        <v>40865875</v>
      </c>
      <c r="D34" s="261"/>
      <c r="E34" s="264"/>
      <c r="F34" s="301"/>
      <c r="G34" s="263"/>
    </row>
    <row r="35" spans="1:7" ht="13.5" customHeight="1">
      <c r="A35" s="954" t="s">
        <v>795</v>
      </c>
      <c r="B35" s="259" t="s">
        <v>2369</v>
      </c>
      <c r="C35" s="264">
        <f ca="1">ROUND(C34*F35,0)</f>
        <v>2043294</v>
      </c>
      <c r="D35" s="264"/>
      <c r="E35" s="264"/>
      <c r="F35" s="303">
        <f>'数据-取费表'!B33</f>
        <v>0.05</v>
      </c>
      <c r="G35" s="263" t="s">
        <v>2370</v>
      </c>
    </row>
    <row r="36" spans="1:7" ht="24">
      <c r="A36" s="954" t="s">
        <v>796</v>
      </c>
      <c r="B36" s="259" t="s">
        <v>2371</v>
      </c>
      <c r="C36" s="264">
        <f ca="1">ROUND(IF(B1="",SUM('数据-取费表'!AP6:AP13)*F36,IF(INDIRECT("'数据-取费表'!c"&amp;$G$1)="住宅",INDIRECT("'数据-取费表'!k"&amp;$G$1)*INDIRECT("'数据-取费表'!l"&amp;$G$1)*F36,0)),0)</f>
        <v>0</v>
      </c>
      <c r="D36" s="264"/>
      <c r="E36" s="264"/>
      <c r="F36" s="303">
        <f>'数据-取费表'!B34</f>
        <v>0</v>
      </c>
      <c r="G36" s="304" t="s">
        <v>2372</v>
      </c>
    </row>
    <row r="37" spans="1:7" s="302" customFormat="1" ht="13.5" customHeight="1">
      <c r="A37" s="954" t="s">
        <v>797</v>
      </c>
      <c r="B37" s="259" t="s">
        <v>2373</v>
      </c>
      <c r="C37" s="293">
        <f ca="1">ROUND(E37*D37,0)</f>
        <v>2451953</v>
      </c>
      <c r="D37" s="261">
        <f ca="1">D19</f>
        <v>16346.349999999999</v>
      </c>
      <c r="E37" s="293">
        <f>'数据-取费表'!B35</f>
        <v>150</v>
      </c>
      <c r="F37" s="303"/>
      <c r="G37" s="305"/>
    </row>
    <row r="38" spans="1:7" ht="13.5" customHeight="1">
      <c r="A38" s="954" t="s">
        <v>798</v>
      </c>
      <c r="B38" s="259" t="s">
        <v>2375</v>
      </c>
      <c r="C38" s="264">
        <f ca="1">ROUND(C34*F38,0)</f>
        <v>612988</v>
      </c>
      <c r="D38" s="264"/>
      <c r="E38" s="264"/>
      <c r="F38" s="303">
        <f>'数据-取费表'!B36</f>
        <v>1.4999999999999999E-2</v>
      </c>
      <c r="G38" s="263" t="s">
        <v>2370</v>
      </c>
    </row>
    <row r="39" spans="1:7" s="258" customFormat="1" ht="13.5" customHeight="1">
      <c r="A39" s="299" t="s">
        <v>2376</v>
      </c>
      <c r="B39" s="254" t="s">
        <v>2377</v>
      </c>
      <c r="C39" s="276">
        <f ca="1">ROUND(C33*F20,0)</f>
        <v>919482</v>
      </c>
      <c r="D39" s="276"/>
      <c r="E39" s="276"/>
      <c r="F39" s="277"/>
      <c r="G39" s="278" t="s">
        <v>2378</v>
      </c>
    </row>
    <row r="40" spans="1:7" s="258" customFormat="1" ht="13.5" customHeight="1">
      <c r="A40" s="299" t="s">
        <v>2379</v>
      </c>
      <c r="B40" s="254" t="s">
        <v>2380</v>
      </c>
      <c r="C40" s="1731">
        <f>F21</f>
        <v>0.02</v>
      </c>
      <c r="D40" s="280" t="s">
        <v>2381</v>
      </c>
      <c r="E40" s="276"/>
      <c r="F40" s="277"/>
      <c r="G40" s="278" t="s">
        <v>2382</v>
      </c>
    </row>
    <row r="41" spans="1:7" s="258" customFormat="1" ht="13.5" customHeight="1">
      <c r="A41" s="299" t="s">
        <v>2383</v>
      </c>
      <c r="B41" s="254" t="s">
        <v>2384</v>
      </c>
      <c r="C41" s="276">
        <f ca="1">ROUND(SUM(C42:C43),0)</f>
        <v>1019936</v>
      </c>
      <c r="D41" s="279">
        <f ca="1">C44</f>
        <v>4.0000000000000002E-4</v>
      </c>
      <c r="E41" s="280" t="s">
        <v>2381</v>
      </c>
      <c r="F41" s="281"/>
      <c r="G41" s="278" t="str">
        <f>IF('数据-取费表'!B22&lt;=1,"单利计息","复利计息")</f>
        <v>单利计息</v>
      </c>
    </row>
    <row r="42" spans="1:7" ht="13.5" customHeight="1">
      <c r="A42" s="954" t="s">
        <v>790</v>
      </c>
      <c r="B42" s="259" t="s">
        <v>2385</v>
      </c>
      <c r="C42" s="282">
        <f ca="1">ROUND(IF('数据-取费表'!B22&lt;=1,C33*F22*'数据-取费表'!B20/2,C33*(POWER((1+F22),'数据-取费表'!B20/2)-1)),0)</f>
        <v>999937</v>
      </c>
      <c r="D42" s="282"/>
      <c r="E42" s="282"/>
      <c r="F42" s="283"/>
      <c r="G42" s="3138" t="s">
        <v>2433</v>
      </c>
    </row>
    <row r="43" spans="1:7" ht="13.5" customHeight="1">
      <c r="A43" s="954" t="s">
        <v>791</v>
      </c>
      <c r="B43" s="259" t="s">
        <v>2387</v>
      </c>
      <c r="C43" s="282">
        <f ca="1">ROUND(IF('数据-取费表'!B22&lt;=1,C39*F22*'数据-取费表'!B20/2,C39*(POWER((1+F22),'数据-取费表'!B20/2)-1)),0)</f>
        <v>19999</v>
      </c>
      <c r="D43" s="282"/>
      <c r="E43" s="282"/>
      <c r="F43" s="283"/>
      <c r="G43" s="3139"/>
    </row>
    <row r="44" spans="1:7" ht="13.5" customHeight="1">
      <c r="A44" s="954" t="s">
        <v>792</v>
      </c>
      <c r="B44" s="259" t="s">
        <v>2388</v>
      </c>
      <c r="C44" s="282">
        <f ca="1">ROUND(IF('数据-取费表'!B22&lt;=1,C40*F22*'数据-取费表'!B20/2,C40*(POWER((1+F22),'数据-取费表'!B20/2)-1)),4)</f>
        <v>4.0000000000000002E-4</v>
      </c>
      <c r="D44" s="282"/>
      <c r="E44" s="282"/>
      <c r="F44" s="283"/>
      <c r="G44" s="3140"/>
    </row>
    <row r="45" spans="1:7" s="258" customFormat="1" ht="13.5" customHeight="1">
      <c r="A45" s="299" t="s">
        <v>2389</v>
      </c>
      <c r="B45" s="288" t="s">
        <v>2355</v>
      </c>
      <c r="C45" s="289">
        <f ca="1">C46</f>
        <v>4689359</v>
      </c>
      <c r="D45" s="279">
        <f ca="1">C47</f>
        <v>2E-3</v>
      </c>
      <c r="E45" s="280" t="s">
        <v>2381</v>
      </c>
      <c r="F45" s="290"/>
      <c r="G45" s="291" t="s">
        <v>2390</v>
      </c>
    </row>
    <row r="46" spans="1:7" s="258" customFormat="1" ht="13.5" customHeight="1">
      <c r="A46" s="954" t="s">
        <v>790</v>
      </c>
      <c r="B46" s="292" t="s">
        <v>2391</v>
      </c>
      <c r="C46" s="293">
        <f ca="1">ROUND((C33+C39)*F27,0)</f>
        <v>4689359</v>
      </c>
      <c r="D46" s="307"/>
      <c r="E46" s="280"/>
      <c r="F46" s="290"/>
      <c r="G46" s="291"/>
    </row>
    <row r="47" spans="1:7" s="258" customFormat="1" ht="13.5" customHeight="1">
      <c r="A47" s="954" t="s">
        <v>791</v>
      </c>
      <c r="B47" s="292" t="s">
        <v>2392</v>
      </c>
      <c r="C47" s="282">
        <f ca="1">ROUND(C40*F27,4)</f>
        <v>2E-3</v>
      </c>
      <c r="D47" s="307"/>
      <c r="E47" s="280"/>
      <c r="F47" s="290"/>
      <c r="G47" s="291"/>
    </row>
    <row r="48" spans="1:7" s="258" customFormat="1" ht="13.5" customHeight="1">
      <c r="A48" s="299" t="s">
        <v>2354</v>
      </c>
      <c r="B48" s="254" t="s">
        <v>2393</v>
      </c>
      <c r="C48" s="306">
        <f>ROUND(F30/(1+'数据-取费表'!C42),4)</f>
        <v>5.2400000000000002E-2</v>
      </c>
      <c r="D48" s="280" t="s">
        <v>2381</v>
      </c>
      <c r="E48" s="276"/>
      <c r="F48" s="281"/>
      <c r="G48" s="278" t="s">
        <v>2394</v>
      </c>
    </row>
    <row r="49" spans="1:7" ht="16.5" customHeight="1">
      <c r="A49" s="299" t="s">
        <v>2360</v>
      </c>
      <c r="B49" s="254" t="s">
        <v>2434</v>
      </c>
      <c r="C49" s="276">
        <f ca="1">ROUND((C33+C39+C41+C45)/(1-C40-D41-D45-C48),0)</f>
        <v>56855693</v>
      </c>
      <c r="D49" s="276"/>
      <c r="E49" s="276"/>
      <c r="F49" s="308"/>
      <c r="G49" s="278" t="s">
        <v>2396</v>
      </c>
    </row>
    <row r="50" spans="1:7" s="302" customFormat="1">
      <c r="A50" s="299" t="s">
        <v>2397</v>
      </c>
      <c r="B50" s="254" t="s">
        <v>2398</v>
      </c>
      <c r="C50" s="276"/>
      <c r="D50" s="276"/>
      <c r="E50" s="276"/>
      <c r="F50" s="308">
        <f>IF('数据-取费表'!B24=0,'数据-取费表'!N16,1)</f>
        <v>0.94</v>
      </c>
      <c r="G50" s="291"/>
    </row>
    <row r="51" spans="1:7" ht="16.5" customHeight="1">
      <c r="A51" s="299" t="s">
        <v>2400</v>
      </c>
      <c r="B51" s="254" t="s">
        <v>2435</v>
      </c>
      <c r="C51" s="276">
        <f ca="1">ROUND(C49*F50,0)</f>
        <v>53444351</v>
      </c>
      <c r="D51" s="276"/>
      <c r="E51" s="276"/>
      <c r="F51" s="308"/>
      <c r="G51" s="278" t="s">
        <v>2402</v>
      </c>
    </row>
    <row r="52" spans="1:7" s="252" customFormat="1" ht="16.5" thickBot="1">
      <c r="A52" s="309" t="s">
        <v>2403</v>
      </c>
      <c r="B52" s="310"/>
      <c r="C52" s="311">
        <f ca="1">C31+C51</f>
        <v>57564278</v>
      </c>
      <c r="D52" s="310"/>
      <c r="E52" s="310"/>
      <c r="F52" s="310"/>
      <c r="G52" s="312"/>
    </row>
    <row r="55" spans="1:7" ht="15">
      <c r="B55" s="314" t="s">
        <v>2404</v>
      </c>
      <c r="C55" s="315"/>
    </row>
    <row r="56" spans="1:7">
      <c r="B56" s="317" t="s">
        <v>1512</v>
      </c>
      <c r="C56" s="319">
        <f ca="1">1-C57</f>
        <v>7.1999999999999953E-2</v>
      </c>
    </row>
    <row r="57" spans="1:7">
      <c r="B57" s="317" t="s">
        <v>1513</v>
      </c>
      <c r="C57" s="318">
        <f ca="1">ROUND(C51/C52,3)</f>
        <v>0.92800000000000005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2436</v>
      </c>
      <c r="B1" s="1584"/>
      <c r="C1" s="1585"/>
      <c r="D1" s="1583"/>
      <c r="E1" s="320"/>
      <c r="F1" s="320"/>
      <c r="G1" s="1584"/>
      <c r="H1" s="320"/>
      <c r="I1" s="320"/>
      <c r="J1" s="320"/>
      <c r="K1" s="320">
        <f>MATCH(C1,'数据-取费表'!A6:A16,0)+5</f>
        <v>7</v>
      </c>
    </row>
    <row r="2" spans="1:33" ht="18" customHeight="1">
      <c r="A2" s="245" t="s">
        <v>2304</v>
      </c>
      <c r="B2" s="248">
        <f ca="1">C32</f>
        <v>0</v>
      </c>
      <c r="C2" s="320" t="s">
        <v>2437</v>
      </c>
      <c r="D2" s="320"/>
      <c r="E2" s="320"/>
      <c r="F2" s="320"/>
      <c r="G2" s="320"/>
      <c r="H2" s="320"/>
      <c r="I2" s="320"/>
      <c r="J2" s="320"/>
      <c r="K2" s="320"/>
    </row>
    <row r="3" spans="1:33" ht="18" customHeight="1" thickBot="1">
      <c r="A3" s="247" t="s">
        <v>2306</v>
      </c>
      <c r="B3" s="248">
        <f ca="1">ROUND(B2*10000/IF(C1="",'数据-汇总表'!E3,INDIRECT("'数据-取费表'!K"&amp;$K$1)),0)</f>
        <v>0</v>
      </c>
      <c r="C3" s="320" t="s">
        <v>2438</v>
      </c>
      <c r="D3" s="320"/>
      <c r="E3" s="320"/>
      <c r="F3" s="320"/>
      <c r="G3" s="320"/>
      <c r="H3" s="320"/>
      <c r="I3" s="320"/>
      <c r="J3" s="320"/>
      <c r="K3" s="320"/>
    </row>
    <row r="4" spans="1:33" s="959" customFormat="1" ht="16.5" customHeight="1">
      <c r="A4" s="956" t="s">
        <v>2439</v>
      </c>
      <c r="B4" s="957"/>
      <c r="C4" s="999">
        <f>SUM(C8:K8)</f>
        <v>0</v>
      </c>
      <c r="D4" s="957"/>
      <c r="E4" s="957"/>
      <c r="F4" s="957"/>
      <c r="G4" s="957"/>
      <c r="H4" s="957"/>
      <c r="I4" s="957"/>
      <c r="J4" s="957"/>
      <c r="K4" s="958"/>
    </row>
    <row r="5" spans="1:33" s="963" customFormat="1" ht="24.75">
      <c r="A5" s="960" t="s">
        <v>2440</v>
      </c>
      <c r="B5" s="961" t="s">
        <v>2441</v>
      </c>
      <c r="C5" s="2558" t="s">
        <v>2442</v>
      </c>
      <c r="D5" s="2558" t="s">
        <v>2443</v>
      </c>
      <c r="E5" s="2558" t="s">
        <v>2444</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2445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2446</v>
      </c>
      <c r="B7" s="140" t="s">
        <v>2447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2448</v>
      </c>
      <c r="B8" s="177" t="s">
        <v>2449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2450</v>
      </c>
      <c r="B9" s="957"/>
      <c r="C9" s="957"/>
      <c r="D9" s="957"/>
      <c r="E9" s="957"/>
      <c r="F9" s="957"/>
      <c r="G9" s="957"/>
      <c r="H9" s="957"/>
      <c r="I9" s="957"/>
      <c r="J9" s="957"/>
      <c r="K9" s="958"/>
    </row>
    <row r="10" spans="1:33" s="973" customFormat="1" ht="13.5" customHeight="1">
      <c r="A10" s="960" t="s">
        <v>2451</v>
      </c>
      <c r="B10" s="8" t="s">
        <v>2452</v>
      </c>
      <c r="C10" s="969" t="s">
        <v>2453</v>
      </c>
      <c r="D10" s="970" t="s">
        <v>2454</v>
      </c>
      <c r="E10" s="970" t="s">
        <v>2455</v>
      </c>
      <c r="F10" s="970" t="s">
        <v>2456</v>
      </c>
      <c r="G10" s="8"/>
      <c r="H10" s="971"/>
      <c r="I10" s="971"/>
      <c r="J10" s="971"/>
      <c r="K10" s="972"/>
    </row>
    <row r="11" spans="1:33" s="978" customFormat="1" ht="13.5" customHeight="1">
      <c r="A11" s="974" t="s">
        <v>1333</v>
      </c>
      <c r="B11" s="975" t="s">
        <v>2457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1334</v>
      </c>
      <c r="B12" s="975" t="s">
        <v>2458</v>
      </c>
      <c r="C12" s="24">
        <f ca="1">ROUND(C11*F12,0)</f>
        <v>0</v>
      </c>
      <c r="D12" s="976"/>
      <c r="E12" s="375"/>
      <c r="F12" s="979">
        <f>'数据-取费表'!B33</f>
        <v>0.05</v>
      </c>
      <c r="G12" s="8" t="s">
        <v>2459</v>
      </c>
      <c r="H12" s="971"/>
      <c r="I12" s="971"/>
      <c r="J12" s="971"/>
      <c r="K12" s="972"/>
    </row>
    <row r="13" spans="1:33" s="978" customFormat="1" ht="13.5" customHeight="1">
      <c r="A13" s="974" t="s">
        <v>1335</v>
      </c>
      <c r="B13" s="975" t="s">
        <v>2460</v>
      </c>
      <c r="C13" s="24">
        <f ca="1">ROUND(IF(C1="",SUMIF('数据-取费表'!C:C,"住宅",'数据-取费表'!P:P)*F13,IF(INDIRECT("'数据-取费表'!c"&amp;$K$1)="住宅",INDIRECT("'数据-取费表'!P"&amp;$K$1)*F13,0)),0)</f>
        <v>0</v>
      </c>
      <c r="D13" s="1036"/>
      <c r="E13" s="375"/>
      <c r="F13" s="979">
        <f>'数据-取费表'!B34</f>
        <v>0</v>
      </c>
      <c r="G13" s="8" t="s">
        <v>2461</v>
      </c>
      <c r="H13" s="971"/>
      <c r="I13" s="971"/>
      <c r="J13" s="971"/>
      <c r="K13" s="972"/>
    </row>
    <row r="14" spans="1:33" s="980" customFormat="1" ht="13.5" customHeight="1">
      <c r="A14" s="974" t="s">
        <v>1336</v>
      </c>
      <c r="B14" s="975" t="s">
        <v>2462</v>
      </c>
      <c r="C14" s="24">
        <f ca="1">ROUND(D14*E14*F11/10000,0)</f>
        <v>0</v>
      </c>
      <c r="D14" s="1036">
        <f ca="1">IF(C1="",'数据-汇总表'!E3,INDIRECT("'数据-取费表'!K"&amp;$K$1)+INDIRECT("'数据-取费表'!S"&amp;$K$1))</f>
        <v>16346.349999999999</v>
      </c>
      <c r="E14" s="24">
        <f>'数据-取费表'!B35</f>
        <v>150</v>
      </c>
      <c r="F14" s="979"/>
      <c r="G14" s="8" t="s">
        <v>2463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1337</v>
      </c>
      <c r="B15" s="975" t="s">
        <v>2464</v>
      </c>
      <c r="C15" s="986">
        <f ca="1">ROUND(C11*F15,0)</f>
        <v>0</v>
      </c>
      <c r="D15" s="981"/>
      <c r="E15" s="986"/>
      <c r="F15" s="987">
        <f>'数据-取费表'!B36</f>
        <v>1.4999999999999999E-2</v>
      </c>
      <c r="G15" s="140" t="s">
        <v>2465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2466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2467</v>
      </c>
      <c r="C17" s="24">
        <f ca="1">ROUND(D17*E17/10000,0)</f>
        <v>0</v>
      </c>
      <c r="D17" s="1036">
        <f ca="1">D14</f>
        <v>16346.349999999999</v>
      </c>
      <c r="E17" s="24">
        <f>'数据-取费表'!B32</f>
        <v>0</v>
      </c>
      <c r="F17" s="981"/>
      <c r="G17" s="140" t="s">
        <v>2468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1338</v>
      </c>
      <c r="B18" s="975" t="s">
        <v>2469</v>
      </c>
      <c r="C18" s="24">
        <f ca="1">C19+C20-IF(C1="",'数据-取费表'!B29,IF(G18="已全部缴纳",C19+C20,H18))</f>
        <v>0</v>
      </c>
      <c r="D18" s="1036"/>
      <c r="E18" s="24"/>
      <c r="F18" s="979"/>
      <c r="G18" s="2560"/>
      <c r="H18" s="1580"/>
      <c r="I18" s="2561" t="s">
        <v>2470</v>
      </c>
      <c r="J18" s="982"/>
      <c r="K18" s="983"/>
    </row>
    <row r="19" spans="1:33" s="978" customFormat="1" ht="13.5" customHeight="1">
      <c r="A19" s="974" t="s">
        <v>804</v>
      </c>
      <c r="B19" s="975" t="s">
        <v>2471</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805</v>
      </c>
      <c r="B20" s="975" t="s">
        <v>2472</v>
      </c>
      <c r="C20" s="24">
        <f ca="1">ROUND(D20*E20/10000,0)</f>
        <v>0</v>
      </c>
      <c r="D20" s="1036">
        <f ca="1">IF(C1="",'数据-汇总表'!E6,IF(INDIRECT("'数据-取费表'!c"&amp;$K$1)="住宅",INDIRECT("'数据-取费表'!s"&amp;$K$1),INDIRECT("'数据-取费表'!k"&amp;$K$1)+INDIRECT("'数据-取费表'!s"&amp;$K$1)))</f>
        <v>16346.349999999999</v>
      </c>
      <c r="E20" s="24">
        <f>'数据-取费表'!B28</f>
        <v>0</v>
      </c>
      <c r="F20" s="979"/>
      <c r="G20" s="15"/>
      <c r="H20" s="984"/>
      <c r="I20" s="984"/>
      <c r="J20" s="984"/>
      <c r="K20" s="985"/>
    </row>
    <row r="21" spans="1:33" s="978" customFormat="1" ht="13.5" customHeight="1">
      <c r="A21" s="964" t="s">
        <v>801</v>
      </c>
      <c r="B21" s="988" t="s">
        <v>2473</v>
      </c>
      <c r="C21" s="989">
        <f ca="1">C16+C17+C18</f>
        <v>0</v>
      </c>
      <c r="D21" s="990"/>
      <c r="E21" s="325"/>
      <c r="F21" s="325"/>
      <c r="G21" s="140" t="s">
        <v>2474</v>
      </c>
      <c r="H21" s="982"/>
      <c r="I21" s="982"/>
      <c r="J21" s="982"/>
      <c r="K21" s="983"/>
    </row>
    <row r="22" spans="1:33" s="978" customFormat="1" ht="13.5" customHeight="1">
      <c r="A22" s="964" t="s">
        <v>2446</v>
      </c>
      <c r="B22" s="988" t="s">
        <v>2475</v>
      </c>
      <c r="C22" s="989">
        <f ca="1">ROUND(C21*F22,0)</f>
        <v>0</v>
      </c>
      <c r="D22" s="325"/>
      <c r="E22" s="325"/>
      <c r="F22" s="991">
        <f>'数据-取费表'!B37</f>
        <v>0.02</v>
      </c>
      <c r="G22" s="8" t="s">
        <v>2476</v>
      </c>
      <c r="H22" s="971"/>
      <c r="I22" s="971"/>
      <c r="J22" s="971"/>
      <c r="K22" s="972"/>
    </row>
    <row r="23" spans="1:33" s="978" customFormat="1" ht="13.5" customHeight="1">
      <c r="A23" s="964" t="s">
        <v>2448</v>
      </c>
      <c r="B23" s="988" t="s">
        <v>2477</v>
      </c>
      <c r="C23" s="989">
        <f ca="1">ROUND(C4*F23*F11,0)</f>
        <v>0</v>
      </c>
      <c r="D23" s="325"/>
      <c r="E23" s="325"/>
      <c r="F23" s="991">
        <f>'数据-取费表'!B38</f>
        <v>0.02</v>
      </c>
      <c r="G23" s="8" t="s">
        <v>2478</v>
      </c>
      <c r="H23" s="971"/>
      <c r="I23" s="971"/>
      <c r="J23" s="971"/>
      <c r="K23" s="972"/>
    </row>
    <row r="24" spans="1:33" s="978" customFormat="1" ht="13.5" customHeight="1">
      <c r="A24" s="964" t="s">
        <v>2479</v>
      </c>
      <c r="B24" s="988" t="s">
        <v>2480</v>
      </c>
      <c r="C24" s="324">
        <f>ROUND(F24/(1+'数据-取费表'!C42),4)</f>
        <v>2.9000000000000001E-2</v>
      </c>
      <c r="D24" s="325" t="s">
        <v>15</v>
      </c>
      <c r="E24" s="325"/>
      <c r="F24" s="991">
        <f>'数据-取费表'!B48+'数据-取费表'!B49</f>
        <v>3.0499999999999999E-2</v>
      </c>
      <c r="G24" s="8" t="s">
        <v>2481</v>
      </c>
      <c r="H24" s="993"/>
      <c r="I24" s="993"/>
      <c r="J24" s="993"/>
      <c r="K24" s="994"/>
    </row>
    <row r="25" spans="1:33" s="978" customFormat="1" ht="13.5" customHeight="1">
      <c r="A25" s="964" t="s">
        <v>2482</v>
      </c>
      <c r="B25" s="990" t="s">
        <v>2483</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802</v>
      </c>
      <c r="B26" s="995" t="s">
        <v>2484</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803</v>
      </c>
      <c r="B27" s="995" t="s">
        <v>2485</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2486</v>
      </c>
      <c r="B28" s="2563" t="s">
        <v>2487</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802</v>
      </c>
      <c r="B29" s="997" t="s">
        <v>2488</v>
      </c>
      <c r="C29" s="328">
        <f ca="1">ROUND((1+C24)*F28*'数据-取费表'!B24/'数据-取费表'!B20,4)</f>
        <v>0</v>
      </c>
      <c r="D29" s="328"/>
      <c r="E29" s="329"/>
      <c r="F29" s="334"/>
      <c r="G29" s="140" t="s">
        <v>2489</v>
      </c>
      <c r="H29" s="982"/>
      <c r="I29" s="982"/>
      <c r="J29" s="982"/>
      <c r="K29" s="983"/>
    </row>
    <row r="30" spans="1:33" s="335" customFormat="1" ht="13.5" customHeight="1">
      <c r="A30" s="974" t="s">
        <v>803</v>
      </c>
      <c r="B30" s="997" t="s">
        <v>2490</v>
      </c>
      <c r="C30" s="336">
        <f ca="1">ROUND((C21+C22+C23)*F28,0)</f>
        <v>0</v>
      </c>
      <c r="D30" s="328"/>
      <c r="E30" s="329"/>
      <c r="F30" s="334"/>
      <c r="G30" s="140"/>
      <c r="H30" s="982"/>
      <c r="I30" s="982"/>
      <c r="J30" s="982"/>
      <c r="K30" s="983"/>
    </row>
    <row r="31" spans="1:33" s="978" customFormat="1" ht="13.5" customHeight="1" thickBot="1">
      <c r="A31" s="2564" t="s">
        <v>2491</v>
      </c>
      <c r="B31" s="1008" t="s">
        <v>2492</v>
      </c>
      <c r="C31" s="1009">
        <f>ROUND(C4*F31/(1+'数据-取费表'!C42),0)</f>
        <v>0</v>
      </c>
      <c r="D31" s="1010"/>
      <c r="E31" s="1011"/>
      <c r="F31" s="1012">
        <f>'数据-取费表'!B41</f>
        <v>5.5000000000000007E-2</v>
      </c>
      <c r="G31" s="1013" t="s">
        <v>2493</v>
      </c>
      <c r="H31" s="1014"/>
      <c r="I31" s="1014"/>
      <c r="J31" s="1014"/>
      <c r="K31" s="1015"/>
    </row>
    <row r="32" spans="1:33" s="973" customFormat="1" ht="13.5" customHeight="1" thickBot="1">
      <c r="A32" s="1003" t="s">
        <v>2494</v>
      </c>
      <c r="B32" s="1004"/>
      <c r="C32" s="1005">
        <f ca="1">ROUND((C4-C21-C22-C23-C25-C28-C31)/(1+C24+D25+D28),0)</f>
        <v>0</v>
      </c>
      <c r="D32" s="1004"/>
      <c r="E32" s="1004"/>
      <c r="F32" s="1004"/>
      <c r="G32" s="1006" t="s">
        <v>2495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12" sqref="F1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3042</v>
      </c>
      <c r="D1" s="1823" t="s">
        <v>69</v>
      </c>
      <c r="E1" s="1824" t="s">
        <v>1386</v>
      </c>
      <c r="F1" s="1286">
        <f ca="1">J53</f>
        <v>41.7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11110</v>
      </c>
      <c r="C2" s="1848" t="s">
        <v>1515</v>
      </c>
      <c r="D2" s="1848"/>
      <c r="E2" s="1849"/>
      <c r="F2" s="1850"/>
      <c r="G2" s="1851"/>
      <c r="H2" s="1843"/>
      <c r="I2" s="1843"/>
      <c r="J2" s="1843"/>
      <c r="K2" s="1844"/>
      <c r="L2" s="1843"/>
      <c r="M2" s="1843"/>
    </row>
    <row r="3" spans="1:37" ht="18" customHeight="1" thickBot="1">
      <c r="A3" s="1852" t="s">
        <v>1516</v>
      </c>
      <c r="B3" s="1853">
        <f ca="1">IF(ISERROR(B2*10000/F43),0,ROUND(B2*10000/F43,0))</f>
        <v>6797</v>
      </c>
      <c r="C3" s="1848" t="s">
        <v>1517</v>
      </c>
      <c r="D3" s="1848"/>
      <c r="E3" s="1849"/>
      <c r="F3" s="1850"/>
      <c r="G3" s="1851"/>
      <c r="H3" s="744" t="s">
        <v>1587</v>
      </c>
      <c r="I3" s="1843"/>
      <c r="J3" s="1843"/>
      <c r="K3" s="1844"/>
      <c r="L3" s="1843"/>
      <c r="M3" s="1843"/>
    </row>
    <row r="4" spans="1:37" ht="18" customHeight="1">
      <c r="A4" s="340" t="s">
        <v>1395</v>
      </c>
      <c r="B4" s="341" t="s">
        <v>1396</v>
      </c>
      <c r="C4" s="341" t="s">
        <v>1397</v>
      </c>
      <c r="D4" s="341" t="s">
        <v>1398</v>
      </c>
      <c r="E4" s="342" t="s">
        <v>1399</v>
      </c>
      <c r="F4" s="343"/>
      <c r="G4" s="1854"/>
      <c r="H4" s="340" t="s">
        <v>1395</v>
      </c>
      <c r="I4" s="341" t="s">
        <v>1396</v>
      </c>
      <c r="J4" s="341" t="s">
        <v>1397</v>
      </c>
      <c r="K4" s="341" t="s">
        <v>1398</v>
      </c>
      <c r="L4" s="342" t="s">
        <v>1399</v>
      </c>
      <c r="M4" s="343"/>
    </row>
    <row r="5" spans="1:37" ht="18" customHeight="1">
      <c r="A5" s="344">
        <v>1</v>
      </c>
      <c r="B5" s="345" t="s">
        <v>1400</v>
      </c>
      <c r="C5" s="1295">
        <f ca="1">C6+C10+C12</f>
        <v>699</v>
      </c>
      <c r="D5" s="1825" t="s">
        <v>1401</v>
      </c>
      <c r="E5" s="1296"/>
      <c r="F5" s="1297"/>
      <c r="G5" s="1854"/>
      <c r="H5" s="344">
        <v>1</v>
      </c>
      <c r="I5" s="345" t="s">
        <v>1400</v>
      </c>
      <c r="J5" s="1295">
        <f ca="1">J6+J10+J12</f>
        <v>0</v>
      </c>
      <c r="K5" s="1825" t="s">
        <v>1401</v>
      </c>
      <c r="L5" s="1296"/>
      <c r="M5" s="1297"/>
    </row>
    <row r="6" spans="1:37" ht="18" customHeight="1">
      <c r="A6" s="1294" t="s">
        <v>1034</v>
      </c>
      <c r="B6" s="3143" t="s">
        <v>1402</v>
      </c>
      <c r="C6" s="1299">
        <f ca="1">ROUND(F6*F8*F7*(1-F9)/10000,0)</f>
        <v>698</v>
      </c>
      <c r="D6" s="164" t="s">
        <v>3007</v>
      </c>
      <c r="E6" s="347" t="s">
        <v>1404</v>
      </c>
      <c r="F6" s="348">
        <f ca="1">INDIRECT("'数据-取费表'!u"&amp;$G$1)</f>
        <v>1.3</v>
      </c>
      <c r="G6" s="1854"/>
      <c r="H6" s="1294" t="s">
        <v>1034</v>
      </c>
      <c r="I6" s="3143" t="s">
        <v>1402</v>
      </c>
      <c r="J6" s="346">
        <f ca="1">ROUND(M6*M8*M7*(1-M9)/10000,0)</f>
        <v>0</v>
      </c>
      <c r="K6" s="164" t="s">
        <v>3006</v>
      </c>
      <c r="L6" s="347" t="s">
        <v>1404</v>
      </c>
      <c r="M6" s="348">
        <f ca="1">INDIRECT("'数据-取费表'!z"&amp;$G$1)</f>
        <v>0</v>
      </c>
    </row>
    <row r="7" spans="1:37" ht="18" customHeight="1">
      <c r="A7" s="1298"/>
      <c r="B7" s="3144"/>
      <c r="C7" s="1300"/>
      <c r="D7" s="352"/>
      <c r="E7" s="1301" t="s">
        <v>1405</v>
      </c>
      <c r="F7" s="348">
        <f ca="1">IF(INDIRECT("'数据-取费表'!ah"&amp;$G$1)="",INDIRECT("'数据-取费表'!k"&amp;$G$1),INDIRECT("'数据-取费表'!ah"&amp;$G$1))</f>
        <v>16346.349999999999</v>
      </c>
      <c r="G7" s="1854"/>
      <c r="H7" s="349"/>
      <c r="I7" s="3144"/>
      <c r="J7" s="351"/>
      <c r="K7" s="352"/>
      <c r="L7" s="347" t="s">
        <v>1405</v>
      </c>
      <c r="M7" s="348">
        <f ca="1">F7</f>
        <v>16346.349999999999</v>
      </c>
    </row>
    <row r="8" spans="1:37" ht="18" customHeight="1">
      <c r="A8" s="349"/>
      <c r="B8" s="3144"/>
      <c r="C8" s="351"/>
      <c r="D8" s="352"/>
      <c r="E8" s="347" t="s">
        <v>1406</v>
      </c>
      <c r="F8" s="348">
        <f ca="1">INDIRECT("'数据-取费表'!ai"&amp;$G$1)</f>
        <v>365</v>
      </c>
      <c r="G8" s="1854"/>
      <c r="H8" s="349"/>
      <c r="I8" s="3144"/>
      <c r="J8" s="351"/>
      <c r="K8" s="352"/>
      <c r="L8" s="347" t="s">
        <v>1406</v>
      </c>
      <c r="M8" s="348">
        <f ca="1">INDIRECT("'数据-取费表'!ai"&amp;$G$1)</f>
        <v>365</v>
      </c>
    </row>
    <row r="9" spans="1:37" ht="18" customHeight="1">
      <c r="A9" s="349"/>
      <c r="B9" s="3145"/>
      <c r="C9" s="351"/>
      <c r="D9" s="352"/>
      <c r="E9" s="347" t="s">
        <v>1407</v>
      </c>
      <c r="F9" s="357">
        <f ca="1">INDIRECT("'数据-取费表'!w"&amp;$G$1)</f>
        <v>0.1</v>
      </c>
      <c r="G9" s="1854"/>
      <c r="H9" s="349"/>
      <c r="I9" s="3145"/>
      <c r="J9" s="351"/>
      <c r="K9" s="352"/>
      <c r="L9" s="358" t="s">
        <v>1407</v>
      </c>
      <c r="M9" s="359">
        <f ca="1">INDIRECT("'数据-取费表'!ab"&amp;$G$1)</f>
        <v>0</v>
      </c>
    </row>
    <row r="10" spans="1:37" ht="18" customHeight="1">
      <c r="A10" s="1294" t="s">
        <v>1038</v>
      </c>
      <c r="B10" s="1826" t="s">
        <v>1408</v>
      </c>
      <c r="C10" s="361">
        <f ca="1">ROUND(IF(F10="押一",C6/12*F11,IF(F10="押二",C6/12*2*F11,IF(F10="押三",C6/12*3*F11,C11*F11))),0)</f>
        <v>1</v>
      </c>
      <c r="D10" s="1827" t="s">
        <v>3016</v>
      </c>
      <c r="E10" s="358" t="s">
        <v>1409</v>
      </c>
      <c r="F10" s="1369" t="s">
        <v>3070</v>
      </c>
      <c r="G10" s="1854"/>
      <c r="H10" s="1294" t="s">
        <v>1038</v>
      </c>
      <c r="I10" s="1826" t="s">
        <v>1408</v>
      </c>
      <c r="J10" s="346">
        <f ca="1">ROUND(IF(M10="押一",J6/12*M11,IF(M10="押二",J6/12*2*M11,IF(M10="押三",J6/12*3*M11,J11*M11))),0)</f>
        <v>0</v>
      </c>
      <c r="K10" s="1827" t="s">
        <v>3015</v>
      </c>
      <c r="L10" s="358" t="s">
        <v>1409</v>
      </c>
      <c r="M10" s="1369" t="s">
        <v>1410</v>
      </c>
    </row>
    <row r="11" spans="1:37" ht="18" customHeight="1">
      <c r="A11" s="353"/>
      <c r="B11" s="1828" t="s">
        <v>1387</v>
      </c>
      <c r="C11" s="1181"/>
      <c r="D11" s="1829"/>
      <c r="E11" s="358" t="s">
        <v>1411</v>
      </c>
      <c r="F11" s="359">
        <f ca="1">'数据-取费表'!B39</f>
        <v>1.4999999999999999E-2</v>
      </c>
      <c r="G11" s="1854"/>
      <c r="H11" s="1302"/>
      <c r="I11" s="1828" t="s">
        <v>1387</v>
      </c>
      <c r="J11" s="1181"/>
      <c r="K11" s="748"/>
      <c r="L11" s="358" t="s">
        <v>1411</v>
      </c>
      <c r="M11" s="1059">
        <f ca="1">'数据-取费表'!B39</f>
        <v>1.4999999999999999E-2</v>
      </c>
    </row>
    <row r="12" spans="1:37" ht="18" customHeight="1" thickBot="1">
      <c r="A12" s="1336" t="s">
        <v>1074</v>
      </c>
      <c r="B12" s="1830" t="s">
        <v>1412</v>
      </c>
      <c r="C12" s="1337"/>
      <c r="D12" s="1338"/>
      <c r="E12" s="1343"/>
      <c r="F12" s="1339"/>
      <c r="G12" s="1854"/>
      <c r="H12" s="1336" t="s">
        <v>1074</v>
      </c>
      <c r="I12" s="1830" t="s">
        <v>1412</v>
      </c>
      <c r="J12" s="1337"/>
      <c r="K12" s="1351"/>
      <c r="L12" s="1343"/>
      <c r="M12" s="1352"/>
    </row>
    <row r="13" spans="1:37" ht="18" customHeight="1" thickTop="1">
      <c r="A13" s="1332">
        <v>2</v>
      </c>
      <c r="B13" s="1333" t="s">
        <v>1413</v>
      </c>
      <c r="C13" s="355">
        <f ca="1">ROUND(C29*F13,0)</f>
        <v>5344</v>
      </c>
      <c r="D13" s="1334" t="s">
        <v>1414</v>
      </c>
      <c r="E13" s="1334" t="s">
        <v>1415</v>
      </c>
      <c r="F13" s="1335">
        <f ca="1">INDIRECT("'数据-取费表'!y"&amp;$G$1)</f>
        <v>0.94</v>
      </c>
      <c r="G13" s="1854"/>
      <c r="H13" s="1332">
        <v>2</v>
      </c>
      <c r="I13" s="1333" t="s">
        <v>1413</v>
      </c>
      <c r="J13" s="1293">
        <f ca="1">ROUND(J14*J15,0)</f>
        <v>0</v>
      </c>
      <c r="K13" s="1340" t="s">
        <v>1414</v>
      </c>
      <c r="L13" s="1855"/>
      <c r="M13" s="1856"/>
    </row>
    <row r="14" spans="1:37" ht="18" customHeight="1">
      <c r="A14" s="1204" t="s">
        <v>1033</v>
      </c>
      <c r="B14" s="347" t="s">
        <v>1416</v>
      </c>
      <c r="C14" s="363">
        <f ca="1">INDIRECT("'数据-取费表'!m"&amp;$G$1)+INDIRECT("'数据-取费表'!t"&amp;$G$1)</f>
        <v>4087</v>
      </c>
      <c r="D14" s="1803" t="s">
        <v>1417</v>
      </c>
      <c r="E14" s="1797"/>
      <c r="F14" s="364"/>
      <c r="G14" s="1854"/>
      <c r="H14" s="1204" t="s">
        <v>1034</v>
      </c>
      <c r="I14" s="347" t="s">
        <v>1418</v>
      </c>
      <c r="J14" s="24">
        <f ca="1">C29</f>
        <v>5685</v>
      </c>
      <c r="K14" s="15"/>
      <c r="L14" s="982"/>
      <c r="M14" s="983"/>
    </row>
    <row r="15" spans="1:37" s="1861" customFormat="1" ht="18" customHeight="1" thickBot="1">
      <c r="A15" s="1204" t="s">
        <v>1035</v>
      </c>
      <c r="B15" s="347" t="s">
        <v>1419</v>
      </c>
      <c r="C15" s="24">
        <f ca="1">ROUND(C14*F15,0)</f>
        <v>204</v>
      </c>
      <c r="D15" s="365" t="s">
        <v>1420</v>
      </c>
      <c r="E15" s="365" t="s">
        <v>1421</v>
      </c>
      <c r="F15" s="366">
        <f>'数据-取费表'!B33</f>
        <v>0.05</v>
      </c>
      <c r="G15" s="1857"/>
      <c r="H15" s="1342" t="s">
        <v>1038</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1422</v>
      </c>
      <c r="C16" s="24">
        <f ca="1">ROUND(INDIRECT("'数据-取费表'!m"&amp;$G$1)*F16,0)</f>
        <v>0</v>
      </c>
      <c r="D16" s="347" t="s">
        <v>1420</v>
      </c>
      <c r="E16" s="347" t="s">
        <v>1421</v>
      </c>
      <c r="F16" s="367">
        <f ca="1">IF(INDIRECT("'数据-取费表'!c"&amp;$G$1)="住宅",'数据-取费表'!B34,0)</f>
        <v>0</v>
      </c>
      <c r="G16" s="1854"/>
      <c r="H16" s="1332" t="s">
        <v>1029</v>
      </c>
      <c r="I16" s="1333" t="s">
        <v>1423</v>
      </c>
      <c r="J16" s="355">
        <f ca="1">ROUND(J17+J22+J23+J24,0)</f>
        <v>163</v>
      </c>
      <c r="K16" s="1340" t="s">
        <v>1424</v>
      </c>
      <c r="L16" s="1341"/>
      <c r="M16" s="1297"/>
    </row>
    <row r="17" spans="1:37" s="1861" customFormat="1" ht="18" customHeight="1">
      <c r="A17" s="1204" t="s">
        <v>1389</v>
      </c>
      <c r="B17" s="347" t="s">
        <v>1425</v>
      </c>
      <c r="C17" s="24">
        <f ca="1">ROUND(F17*(F43+INDIRECT("'数据-取费表'!S"&amp;$G$1))/10000,0)</f>
        <v>245</v>
      </c>
      <c r="D17" s="347" t="s">
        <v>1426</v>
      </c>
      <c r="E17" s="347" t="s">
        <v>1427</v>
      </c>
      <c r="F17" s="26">
        <f>'数据-取费表'!B35</f>
        <v>150</v>
      </c>
      <c r="G17" s="1857"/>
      <c r="H17" s="1204" t="s">
        <v>1034</v>
      </c>
      <c r="I17" s="347" t="s">
        <v>1428</v>
      </c>
      <c r="J17" s="24">
        <f ca="1">ROUND(IF(项目基本情况!B11="自然人",J5*M17,J18+J19+J20),1)</f>
        <v>49.7</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1431</v>
      </c>
      <c r="C18" s="24">
        <f ca="1">ROUND(C14*F18,0)</f>
        <v>61</v>
      </c>
      <c r="D18" s="347" t="s">
        <v>1420</v>
      </c>
      <c r="E18" s="347" t="s">
        <v>1421</v>
      </c>
      <c r="F18" s="367">
        <f>'数据-取费表'!B36</f>
        <v>1.4999999999999999E-2</v>
      </c>
      <c r="G18" s="1857"/>
      <c r="H18" s="1204" t="s">
        <v>1033</v>
      </c>
      <c r="I18" s="347" t="s">
        <v>1432</v>
      </c>
      <c r="J18" s="24">
        <f ca="1">ROUND(J5*M18/(1+'数据-取费表'!C42),2)</f>
        <v>0</v>
      </c>
      <c r="K18" s="1801" t="s">
        <v>1433</v>
      </c>
      <c r="L18" s="347" t="s">
        <v>1421</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1034</v>
      </c>
      <c r="B19" s="347" t="s">
        <v>1434</v>
      </c>
      <c r="C19" s="24">
        <f ca="1">SUM(C14:C18)</f>
        <v>4597</v>
      </c>
      <c r="D19" s="140" t="s">
        <v>1435</v>
      </c>
      <c r="E19" s="1821"/>
      <c r="F19" s="26"/>
      <c r="G19" s="1854"/>
      <c r="H19" s="1204" t="s">
        <v>1035</v>
      </c>
      <c r="I19" s="347" t="s">
        <v>1436</v>
      </c>
      <c r="J19" s="24">
        <f ca="1">IF(K19="按租金收入计税",ROUND(J5*M19,2),ROUND(C29*M19*0.7,2))</f>
        <v>47.75</v>
      </c>
      <c r="K19" s="1831" t="s">
        <v>1437</v>
      </c>
      <c r="L19" s="347" t="s">
        <v>1421</v>
      </c>
      <c r="M19" s="367">
        <f>IF(K19="按租金收入计税",'数据-取费表'!B51,'数据-取费表'!B50)</f>
        <v>1.2E-2</v>
      </c>
    </row>
    <row r="20" spans="1:37" s="1861" customFormat="1" ht="18" customHeight="1">
      <c r="A20" s="1204" t="s">
        <v>1038</v>
      </c>
      <c r="B20" s="347" t="s">
        <v>1438</v>
      </c>
      <c r="C20" s="24">
        <f ca="1">ROUND(C19*F20,0)</f>
        <v>92</v>
      </c>
      <c r="D20" s="369" t="s">
        <v>1439</v>
      </c>
      <c r="E20" s="347" t="s">
        <v>1421</v>
      </c>
      <c r="F20" s="367">
        <f>'数据-取费表'!B37</f>
        <v>0.02</v>
      </c>
      <c r="G20" s="1857"/>
      <c r="H20" s="1204" t="s">
        <v>1388</v>
      </c>
      <c r="I20" s="164" t="s">
        <v>1440</v>
      </c>
      <c r="J20" s="25">
        <f ca="1">ROUND(M20*M21/10000,2)</f>
        <v>1.98</v>
      </c>
      <c r="K20" s="370" t="s">
        <v>1441</v>
      </c>
      <c r="L20" s="347" t="s">
        <v>1442</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1074</v>
      </c>
      <c r="B21" s="347" t="s">
        <v>1443</v>
      </c>
      <c r="C21" s="24" t="s">
        <v>18</v>
      </c>
      <c r="D21" s="369" t="s">
        <v>1444</v>
      </c>
      <c r="E21" s="347" t="s">
        <v>1445</v>
      </c>
      <c r="F21" s="367">
        <f>'数据-取费表'!B38</f>
        <v>0.02</v>
      </c>
      <c r="G21" s="1857"/>
      <c r="H21" s="372"/>
      <c r="I21" s="356"/>
      <c r="J21" s="29"/>
      <c r="K21" s="373"/>
      <c r="L21" s="347" t="s">
        <v>1446</v>
      </c>
      <c r="M21" s="348">
        <f ca="1">INDIRECT("'数据-取费表'!r"&amp;$G$1)</f>
        <v>13177.7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1447</v>
      </c>
      <c r="C22" s="24"/>
      <c r="D22" s="140" t="str">
        <f>IF(F23&lt;=1,"单利计息。","复利计息。")&amp;"建造成本、管理费用、销售费用产生的利息。"</f>
        <v>单利计息。建造成本、管理费用、销售费用产生的利息。</v>
      </c>
      <c r="E22" s="1821"/>
      <c r="F22" s="26"/>
      <c r="G22" s="1854"/>
      <c r="H22" s="1204" t="s">
        <v>1038</v>
      </c>
      <c r="I22" s="347" t="s">
        <v>1448</v>
      </c>
      <c r="J22" s="24">
        <f ca="1">ROUND(J14*M22,1)</f>
        <v>113.7</v>
      </c>
      <c r="K22" s="1801" t="s">
        <v>1449</v>
      </c>
      <c r="L22" s="347" t="s">
        <v>1421</v>
      </c>
      <c r="M22" s="374">
        <f ca="1">INDIRECT("'数据-取费表'!Ak"&amp;$G$1)</f>
        <v>0.02</v>
      </c>
    </row>
    <row r="23" spans="1:37" s="1861" customFormat="1" ht="18" customHeight="1">
      <c r="A23" s="1204" t="s">
        <v>1033</v>
      </c>
      <c r="B23" s="347" t="s">
        <v>1450</v>
      </c>
      <c r="C23" s="24">
        <f ca="1">IF('数据-取费表'!B22&lt;=1,ROUND(C19*F24*F23/2,0)+ROUND(C20*F24*F23/2,0),ROUND(C19*(POWER((1+F24),F23/2)-1),0)+ROUND(C20*(POWER((1+F24),F23/2)-1),0))</f>
        <v>102</v>
      </c>
      <c r="D23" s="375" t="str">
        <f>IF(F23&lt;=1,"(建造成本+管理费用)×利率×(建设周期÷2)","(建造成本+管理费用)×((1+利率)^(建设周期÷2)-1)")</f>
        <v>(建造成本+管理费用)×利率×(建设周期÷2)</v>
      </c>
      <c r="E23" s="347" t="s">
        <v>1451</v>
      </c>
      <c r="F23" s="371">
        <f>'数据-取费表'!B20</f>
        <v>1</v>
      </c>
      <c r="G23" s="1857"/>
      <c r="H23" s="1204" t="s">
        <v>1074</v>
      </c>
      <c r="I23" s="347" t="s">
        <v>1452</v>
      </c>
      <c r="J23" s="24">
        <f ca="1">ROUND(J13*M23,1)</f>
        <v>0</v>
      </c>
      <c r="K23" s="1801" t="s">
        <v>1453</v>
      </c>
      <c r="L23" s="347" t="s">
        <v>1454</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7"/>
      <c r="H24" s="1342" t="s">
        <v>1392</v>
      </c>
      <c r="I24" s="1343" t="s">
        <v>1438</v>
      </c>
      <c r="J24" s="1344">
        <f ca="1">ROUND(J5*M24,1)</f>
        <v>0</v>
      </c>
      <c r="K24" s="1345" t="s">
        <v>1458</v>
      </c>
      <c r="L24" s="1343" t="s">
        <v>1454</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1030</v>
      </c>
      <c r="I25" s="1347" t="s">
        <v>1462</v>
      </c>
      <c r="J25" s="355">
        <f ca="1">J5-J16</f>
        <v>-163</v>
      </c>
      <c r="K25" s="1348" t="s">
        <v>1463</v>
      </c>
      <c r="L25" s="1349"/>
      <c r="M25" s="1350"/>
    </row>
    <row r="26" spans="1:37">
      <c r="A26" s="1204" t="s">
        <v>1033</v>
      </c>
      <c r="B26" s="347" t="s">
        <v>1464</v>
      </c>
      <c r="C26" s="24">
        <f ca="1">ROUND((C19+C20)*F26,0)</f>
        <v>469</v>
      </c>
      <c r="D26" s="369" t="s">
        <v>1465</v>
      </c>
      <c r="E26" s="358" t="s">
        <v>1466</v>
      </c>
      <c r="F26" s="357">
        <f ca="1">INDIRECT("'数据-取费表'!q"&amp;$G$1)</f>
        <v>0.1</v>
      </c>
      <c r="G26" s="1854"/>
      <c r="H26" s="344" t="s">
        <v>1031</v>
      </c>
      <c r="I26" s="345" t="s">
        <v>1467</v>
      </c>
      <c r="J26" s="346">
        <f ca="1">IF(J5&lt;&gt;0,ROUND(J25*(1-((1+M28)/(1+M26))^M27)/(M26-M28),0),0)</f>
        <v>0</v>
      </c>
      <c r="K26" s="370" t="s">
        <v>1468</v>
      </c>
      <c r="L26" s="347" t="s">
        <v>1469</v>
      </c>
      <c r="M26" s="357">
        <f ca="1">INDIRECT("'数据-取费表'!I"&amp;$G$1)</f>
        <v>4.4999999999999998E-2</v>
      </c>
    </row>
    <row r="27" spans="1:37" ht="18" customHeight="1">
      <c r="A27" s="1204" t="s">
        <v>1035</v>
      </c>
      <c r="B27" s="347" t="s">
        <v>1470</v>
      </c>
      <c r="C27" s="24">
        <f ca="1">ROUND(F21*F26,4)</f>
        <v>2E-3</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1036</v>
      </c>
      <c r="B28" s="347" t="s">
        <v>1474</v>
      </c>
      <c r="C28" s="24">
        <f>ROUND(F28/(1+'数据-取费表'!C42),4)</f>
        <v>5.2400000000000002E-2</v>
      </c>
      <c r="D28" s="369" t="s">
        <v>1475</v>
      </c>
      <c r="E28" s="347" t="s">
        <v>1421</v>
      </c>
      <c r="F28" s="367">
        <f>'数据-取费表'!B41</f>
        <v>5.5000000000000007E-2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1037</v>
      </c>
      <c r="B29" s="1343" t="s">
        <v>1477</v>
      </c>
      <c r="C29" s="1344">
        <f ca="1">ROUND((C19+C20+C23+C26)/(1-F21-C24-C27-C28),0)</f>
        <v>5685</v>
      </c>
      <c r="D29" s="1345"/>
      <c r="E29" s="1343"/>
      <c r="F29" s="1346"/>
      <c r="G29" s="1857"/>
      <c r="H29" s="380" t="s">
        <v>1032</v>
      </c>
      <c r="I29" s="381" t="s">
        <v>1478</v>
      </c>
      <c r="J29" s="382">
        <f ca="1">ROUND(J26/(1+F40)^F41,0)</f>
        <v>0</v>
      </c>
      <c r="K29" s="383" t="s">
        <v>1479</v>
      </c>
      <c r="L29" s="384"/>
      <c r="M29" s="385">
        <f ca="1">INDIRECT("'数据-取费表'!k"&amp;$G$1)</f>
        <v>16346.349999999999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1029</v>
      </c>
      <c r="B30" s="1333" t="s">
        <v>1423</v>
      </c>
      <c r="C30" s="355">
        <f ca="1">ROUND(C31+C36+C37+C38,0)</f>
        <v>225</v>
      </c>
      <c r="D30" s="1340" t="s">
        <v>1424</v>
      </c>
      <c r="E30" s="1341"/>
      <c r="F30" s="1297"/>
      <c r="G30" s="1854"/>
      <c r="H30" s="745"/>
      <c r="I30" s="746"/>
      <c r="J30" s="747"/>
      <c r="K30" s="748"/>
      <c r="L30" s="749"/>
      <c r="M30" s="750"/>
    </row>
    <row r="31" spans="1:37" ht="18" customHeight="1">
      <c r="A31" s="1204" t="s">
        <v>1034</v>
      </c>
      <c r="B31" s="347" t="s">
        <v>1428</v>
      </c>
      <c r="C31" s="24">
        <f ca="1">ROUND(IF(项目基本情况!B11="自然人",C5*F31,C32+C33+C34),1)</f>
        <v>86.3</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1033</v>
      </c>
      <c r="B32" s="347" t="s">
        <v>1432</v>
      </c>
      <c r="C32" s="24">
        <f ca="1">IF(项目基本情况!B11="自然人","——",ROUND(C5*F32/(1+'数据-取费表'!C42),2))</f>
        <v>36.61</v>
      </c>
      <c r="D32" s="1801" t="s">
        <v>1433</v>
      </c>
      <c r="E32" s="347" t="s">
        <v>1421</v>
      </c>
      <c r="F32" s="377">
        <f>'数据-取费表'!B41</f>
        <v>5.5000000000000007E-2</v>
      </c>
      <c r="G32" s="1854"/>
      <c r="H32" s="745"/>
      <c r="I32" s="746"/>
      <c r="J32" s="747"/>
      <c r="K32" s="748"/>
      <c r="L32" s="749"/>
      <c r="M32" s="750"/>
    </row>
    <row r="33" spans="1:18" ht="18" customHeight="1">
      <c r="A33" s="1204" t="s">
        <v>1035</v>
      </c>
      <c r="B33" s="347" t="s">
        <v>1436</v>
      </c>
      <c r="C33" s="24">
        <f ca="1">IF(项目基本情况!B11="自然人","——",IF(D33="按租金收入计税",ROUND(C5*F33,2),IF(D33="按房产原值计税",ROUND(C29*F33*0.7,2),INDIRECT("'数据-取费表'!Aj"&amp;$G$1))))</f>
        <v>47.75</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1388</v>
      </c>
      <c r="B34" s="164" t="s">
        <v>1440</v>
      </c>
      <c r="C34" s="25">
        <f ca="1">IF(项目基本情况!B11="自然人","——",ROUND(F34*F35/10000,2))</f>
        <v>1.98</v>
      </c>
      <c r="D34" s="370" t="s">
        <v>1441</v>
      </c>
      <c r="E34" s="347" t="s">
        <v>1442</v>
      </c>
      <c r="F34" s="371">
        <f>'数据-取费表'!B52</f>
        <v>1.5</v>
      </c>
      <c r="G34" s="1854"/>
      <c r="H34" s="745"/>
      <c r="I34" s="1863"/>
      <c r="J34" s="1864"/>
      <c r="K34" s="1866"/>
      <c r="L34" s="1867"/>
      <c r="M34" s="1867"/>
    </row>
    <row r="35" spans="1:18" ht="18" customHeight="1">
      <c r="A35" s="1356"/>
      <c r="B35" s="1354"/>
      <c r="C35" s="29"/>
      <c r="D35" s="373"/>
      <c r="E35" s="347" t="s">
        <v>1446</v>
      </c>
      <c r="F35" s="348">
        <f ca="1">INDIRECT("'数据-取费表'!r"&amp;$G$1)</f>
        <v>13177.7</v>
      </c>
      <c r="G35" s="1854"/>
      <c r="H35" s="745"/>
      <c r="I35" s="1863"/>
      <c r="J35" s="1864"/>
      <c r="K35" s="1865"/>
      <c r="L35" s="1862"/>
      <c r="M35" s="1862"/>
    </row>
    <row r="36" spans="1:18" ht="18" customHeight="1">
      <c r="A36" s="1355" t="s">
        <v>1038</v>
      </c>
      <c r="B36" s="347" t="s">
        <v>1448</v>
      </c>
      <c r="C36" s="24">
        <f ca="1">ROUND(C29*F36,1)</f>
        <v>113.7</v>
      </c>
      <c r="D36" s="1801" t="s">
        <v>1481</v>
      </c>
      <c r="E36" s="347" t="s">
        <v>1421</v>
      </c>
      <c r="F36" s="374">
        <f ca="1">INDIRECT("'数据-取费表'!Ak"&amp;$G$1)</f>
        <v>0.02</v>
      </c>
      <c r="G36" s="1854"/>
      <c r="H36" s="1862"/>
      <c r="I36" s="1863"/>
      <c r="J36" s="1864"/>
      <c r="K36" s="751"/>
      <c r="L36" s="1862"/>
      <c r="M36" s="1862"/>
    </row>
    <row r="37" spans="1:18" ht="18" customHeight="1">
      <c r="A37" s="1204" t="s">
        <v>1074</v>
      </c>
      <c r="B37" s="347" t="s">
        <v>1452</v>
      </c>
      <c r="C37" s="24">
        <f ca="1">ROUND(C13*F37,1)</f>
        <v>10.7</v>
      </c>
      <c r="D37" s="1801" t="s">
        <v>1453</v>
      </c>
      <c r="E37" s="347" t="s">
        <v>1454</v>
      </c>
      <c r="F37" s="376">
        <f ca="1">INDIRECT("'数据-取费表'!Al"&amp;$G$1)</f>
        <v>2E-3</v>
      </c>
      <c r="G37" s="1854"/>
      <c r="H37" s="1862"/>
      <c r="I37" s="1863"/>
      <c r="J37" s="1864"/>
      <c r="K37" s="751"/>
      <c r="L37" s="1862"/>
      <c r="M37" s="1862"/>
    </row>
    <row r="38" spans="1:18" ht="18" customHeight="1" thickBot="1">
      <c r="A38" s="1342" t="s">
        <v>1392</v>
      </c>
      <c r="B38" s="1343" t="s">
        <v>1438</v>
      </c>
      <c r="C38" s="1344">
        <f ca="1">ROUND(C5*F38,1)</f>
        <v>14</v>
      </c>
      <c r="D38" s="1345" t="s">
        <v>1458</v>
      </c>
      <c r="E38" s="1343" t="s">
        <v>1454</v>
      </c>
      <c r="F38" s="1339">
        <f ca="1">INDIRECT("'数据-取费表'!Am"&amp;$G$1)</f>
        <v>0.02</v>
      </c>
      <c r="G38" s="1854"/>
      <c r="H38" s="1862"/>
      <c r="I38" s="1863"/>
      <c r="J38" s="1864"/>
      <c r="K38" s="1868"/>
      <c r="L38" s="1862"/>
      <c r="M38" s="1862"/>
    </row>
    <row r="39" spans="1:18" ht="24.6" customHeight="1" thickTop="1">
      <c r="A39" s="1332" t="s">
        <v>1030</v>
      </c>
      <c r="B39" s="1347" t="s">
        <v>1482</v>
      </c>
      <c r="C39" s="355">
        <f ca="1">C5-C30</f>
        <v>474</v>
      </c>
      <c r="D39" s="1348" t="s">
        <v>1483</v>
      </c>
      <c r="E39" s="1349"/>
      <c r="F39" s="1350"/>
      <c r="G39" s="1854"/>
      <c r="H39" s="1862"/>
      <c r="I39" s="1863"/>
      <c r="J39" s="1864"/>
      <c r="K39" s="1868"/>
      <c r="L39" s="1862"/>
      <c r="M39" s="1862"/>
    </row>
    <row r="40" spans="1:18" ht="18" customHeight="1">
      <c r="A40" s="344" t="s">
        <v>1031</v>
      </c>
      <c r="B40" s="345" t="s">
        <v>1484</v>
      </c>
      <c r="C40" s="346">
        <f ca="1">ROUND(C39*(1-((1+F42)/(1+F40))^F41)/(F40-F42),0)</f>
        <v>11110</v>
      </c>
      <c r="D40" s="370" t="s">
        <v>1468</v>
      </c>
      <c r="E40" s="347" t="s">
        <v>1469</v>
      </c>
      <c r="F40" s="357">
        <f ca="1">INDIRECT("'数据-取费表'!I"&amp;$G$1)</f>
        <v>4.4999999999999998E-2</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41.7</v>
      </c>
      <c r="G41" s="1854"/>
      <c r="H41" s="732"/>
      <c r="I41" s="1863"/>
      <c r="J41" s="1864"/>
      <c r="K41" s="751"/>
      <c r="L41" s="732"/>
      <c r="M41" s="732"/>
    </row>
    <row r="42" spans="1:18" ht="18" customHeight="1">
      <c r="A42" s="353"/>
      <c r="B42" s="354"/>
      <c r="C42" s="355"/>
      <c r="D42" s="373"/>
      <c r="E42" s="347" t="s">
        <v>1476</v>
      </c>
      <c r="F42" s="357">
        <f ca="1">INDIRECT("'数据-取费表'!v"&amp;$G$1)</f>
        <v>1.4999999999999999E-2</v>
      </c>
      <c r="G42" s="1854"/>
      <c r="H42" s="732"/>
      <c r="I42" s="1863"/>
      <c r="J42" s="1864"/>
      <c r="K42" s="751"/>
      <c r="L42" s="732"/>
      <c r="M42" s="732"/>
    </row>
    <row r="43" spans="1:18" ht="18" customHeight="1" thickBot="1">
      <c r="A43" s="380" t="s">
        <v>1032</v>
      </c>
      <c r="B43" s="381" t="s">
        <v>1486</v>
      </c>
      <c r="C43" s="382">
        <f ca="1">ROUND(C40*10000/F43,0)</f>
        <v>6797</v>
      </c>
      <c r="D43" s="383" t="s">
        <v>1487</v>
      </c>
      <c r="E43" s="384" t="s">
        <v>1488</v>
      </c>
      <c r="F43" s="385">
        <f ca="1">INDIRECT("'数据-取费表'!k"&amp;$G$1)</f>
        <v>16346.349999999999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-14360</v>
      </c>
      <c r="D46" s="1875" t="str">
        <f>C2</f>
        <v>万元</v>
      </c>
      <c r="E46" s="1869"/>
      <c r="F46" s="1869"/>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1395</v>
      </c>
      <c r="B47" s="1200" t="s">
        <v>1396</v>
      </c>
      <c r="C47" s="1370" t="s">
        <v>1397</v>
      </c>
      <c r="D47" s="1200" t="s">
        <v>1398</v>
      </c>
      <c r="E47" s="1282" t="s">
        <v>1399</v>
      </c>
      <c r="F47" s="1283"/>
      <c r="G47" s="792"/>
      <c r="I47" s="1883" t="s">
        <v>1525</v>
      </c>
      <c r="J47" s="1884" t="s">
        <v>3071</v>
      </c>
      <c r="K47" s="1885" t="s">
        <v>1526</v>
      </c>
      <c r="L47" s="1886">
        <f ca="1">INDIRECT("'数据-取费表'!d"&amp;$G$1)</f>
        <v>50</v>
      </c>
      <c r="M47" s="1841" t="str">
        <f>IF(ISNUMBER(FIND("住宅",C1)),"住宅","非住宅")</f>
        <v>非住宅</v>
      </c>
      <c r="O47" s="1887" t="s">
        <v>1039</v>
      </c>
      <c r="P47" s="1888" t="s">
        <v>1527</v>
      </c>
      <c r="Q47" s="1889">
        <f ca="1">C40+J29</f>
        <v>11110</v>
      </c>
      <c r="R47" s="1889" t="s">
        <v>1528</v>
      </c>
    </row>
    <row r="48" spans="1:18" s="1845" customFormat="1" ht="28.5" thickBot="1">
      <c r="A48" s="1363" t="s">
        <v>1134</v>
      </c>
      <c r="B48" s="345" t="s">
        <v>1400</v>
      </c>
      <c r="C48" s="1820">
        <f ca="1">C49+C53+C55</f>
        <v>0</v>
      </c>
      <c r="D48" s="1365"/>
      <c r="E48" s="1366"/>
      <c r="F48" s="1184"/>
      <c r="G48" s="792"/>
      <c r="H48" s="793"/>
      <c r="I48" s="1890" t="s">
        <v>1529</v>
      </c>
      <c r="J48" s="1891" t="s">
        <v>3072</v>
      </c>
      <c r="K48" s="1892" t="s">
        <v>1530</v>
      </c>
      <c r="L48" s="1893">
        <f ca="1">INDIRECT("'数据-取费表'!f"&amp;$G$1)</f>
        <v>41.7</v>
      </c>
      <c r="O48" s="1887" t="s">
        <v>1040</v>
      </c>
      <c r="P48" s="1888" t="s">
        <v>1531</v>
      </c>
      <c r="Q48" s="1889" t="str">
        <f ca="1">J60</f>
        <v>0</v>
      </c>
      <c r="R48" s="1889" t="s">
        <v>1532</v>
      </c>
    </row>
    <row r="49" spans="1:18" s="1845" customFormat="1" ht="13.5" thickBot="1">
      <c r="A49" s="1197" t="s">
        <v>1135</v>
      </c>
      <c r="B49" s="1832" t="s">
        <v>1489</v>
      </c>
      <c r="C49" s="1367">
        <f ca="1">ROUND(F49*F51*F50*(1-F52)/10000,0)</f>
        <v>0</v>
      </c>
      <c r="D49" s="1279" t="s">
        <v>3008</v>
      </c>
      <c r="E49" s="1833" t="s">
        <v>1490</v>
      </c>
      <c r="F49" s="1284"/>
      <c r="G49" s="1894"/>
      <c r="H49" s="793"/>
      <c r="I49" s="1890" t="s">
        <v>1533</v>
      </c>
      <c r="J49" s="1895"/>
      <c r="K49" s="1892" t="s">
        <v>1534</v>
      </c>
      <c r="L49" s="1896"/>
      <c r="O49" s="1897" t="s">
        <v>1041</v>
      </c>
      <c r="P49" s="1888" t="s">
        <v>1535</v>
      </c>
      <c r="Q49" s="1889">
        <f ca="1">C29</f>
        <v>5685</v>
      </c>
      <c r="R49" s="1889" t="s">
        <v>1528</v>
      </c>
    </row>
    <row r="50" spans="1:18" s="1845" customFormat="1" ht="13.5" thickBot="1">
      <c r="A50" s="1198"/>
      <c r="B50" s="1201"/>
      <c r="C50" s="1371"/>
      <c r="D50" s="1175"/>
      <c r="E50" s="1280" t="s">
        <v>1405</v>
      </c>
      <c r="F50" s="1281">
        <f ca="1">F7</f>
        <v>16346.349999999999</v>
      </c>
      <c r="H50" s="793"/>
      <c r="I50" s="1890" t="s">
        <v>1536</v>
      </c>
      <c r="J50" s="1898">
        <f>SUMPRODUCT((I63:I65=J47)*(J62:L62=J48)*(J63:L65))</f>
        <v>70</v>
      </c>
      <c r="K50" s="1892" t="s">
        <v>1537</v>
      </c>
      <c r="L50" s="1896"/>
      <c r="M50" s="1899"/>
      <c r="O50" s="1897" t="s">
        <v>1042</v>
      </c>
      <c r="P50" s="1888" t="s">
        <v>1538</v>
      </c>
      <c r="Q50" s="1900" t="e">
        <f ca="1">J58</f>
        <v>#VALUE!</v>
      </c>
      <c r="R50" s="1889"/>
    </row>
    <row r="51" spans="1:18" s="1845" customFormat="1" ht="13.5" thickBot="1">
      <c r="A51" s="1199"/>
      <c r="B51" s="1201"/>
      <c r="C51" s="1202"/>
      <c r="D51" s="1175"/>
      <c r="E51" s="1203" t="s">
        <v>1406</v>
      </c>
      <c r="F51" s="348">
        <f ca="1">F8</f>
        <v>365</v>
      </c>
      <c r="I51" s="1901" t="s">
        <v>1539</v>
      </c>
      <c r="J51" s="1902">
        <f>IF(J49="",J50,J49+J50-YEAR('数据-取费表'!B2))</f>
        <v>70</v>
      </c>
      <c r="K51" s="1903" t="s">
        <v>1540</v>
      </c>
      <c r="L51" s="1904">
        <f ca="1">ROUND(-PV(INDIRECT("'数据-取费表'!h"&amp;$G$1),L48,(C39-C13*C76),0),0)</f>
        <v>936</v>
      </c>
      <c r="M51" s="1905"/>
      <c r="O51" s="1897" t="s">
        <v>1043</v>
      </c>
      <c r="P51" s="1888" t="s">
        <v>1541</v>
      </c>
      <c r="Q51" s="1900">
        <f>J52</f>
        <v>0</v>
      </c>
      <c r="R51" s="1889"/>
    </row>
    <row r="52" spans="1:18" s="1845" customFormat="1" ht="13.5" thickBot="1">
      <c r="A52" s="1199"/>
      <c r="B52" s="1201"/>
      <c r="C52" s="1202"/>
      <c r="D52" s="1175"/>
      <c r="E52" s="1203" t="s">
        <v>1407</v>
      </c>
      <c r="F52" s="1278"/>
      <c r="I52" s="1906" t="s">
        <v>1542</v>
      </c>
      <c r="J52" s="1907"/>
      <c r="K52" s="1906" t="s">
        <v>1543</v>
      </c>
      <c r="L52" s="1907"/>
      <c r="O52" s="1897" t="s">
        <v>1044</v>
      </c>
      <c r="P52" s="1888" t="s">
        <v>1544</v>
      </c>
      <c r="Q52" s="1889">
        <f ca="1">J53</f>
        <v>41.7</v>
      </c>
      <c r="R52" s="1889" t="s">
        <v>1545</v>
      </c>
    </row>
    <row r="53" spans="1:18" s="1845" customFormat="1" ht="24.75" thickBot="1">
      <c r="A53" s="1408" t="s">
        <v>1136</v>
      </c>
      <c r="B53" s="1834" t="s">
        <v>1408</v>
      </c>
      <c r="C53" s="361">
        <f ca="1">ROUND(IF(F53="押一",C49/12*F11,IF(F53="押二",C49/12*2*F11,IF(F53="押三",C49/12*3*F11,C54*F11))),0)</f>
        <v>0</v>
      </c>
      <c r="D53" s="1827" t="s">
        <v>3015</v>
      </c>
      <c r="E53" s="358" t="s">
        <v>1409</v>
      </c>
      <c r="F53" s="1369"/>
      <c r="I53" s="1908" t="s">
        <v>1546</v>
      </c>
      <c r="J53" s="1909">
        <f ca="1">IF(M47="住宅",J51,IF(D1="——",MIN(J51,L48),IF(D1="在建（套用方法）",MIN(J51,L48-'数据-取费表'!B24),IF(D1="土地（套用方法）",MIN(J51,L48-'数据-取费表'!B20)))))</f>
        <v>41.7</v>
      </c>
      <c r="K53" s="3141" t="s">
        <v>1547</v>
      </c>
      <c r="L53" s="3142"/>
      <c r="O53" s="1887" t="s">
        <v>1045</v>
      </c>
      <c r="P53" s="1888" t="s">
        <v>1548</v>
      </c>
      <c r="Q53" s="1889">
        <f ca="1">Q47+Q48</f>
        <v>11110</v>
      </c>
      <c r="R53" s="1889" t="s">
        <v>1046</v>
      </c>
    </row>
    <row r="54" spans="1:18" s="1845" customFormat="1" ht="13.5" thickBot="1">
      <c r="A54" s="1409"/>
      <c r="B54" s="1828" t="s">
        <v>1387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1074</v>
      </c>
      <c r="B55" s="1830" t="s">
        <v>1412</v>
      </c>
      <c r="C55" s="1337"/>
      <c r="D55" s="1827"/>
      <c r="E55" s="1835"/>
      <c r="F55" s="1910"/>
      <c r="I55" s="1913" t="s">
        <v>1550</v>
      </c>
      <c r="J55" s="1914" t="e">
        <f ca="1">ROUND(IF(J47="钢混",J57/J50,1-(1-2%)*(J50-J57)/J50),3)</f>
        <v>#VALUE!</v>
      </c>
      <c r="K55" s="1915" t="s">
        <v>1551</v>
      </c>
      <c r="L55" s="1916" t="s">
        <v>1552</v>
      </c>
      <c r="O55" s="1880" t="s">
        <v>1521</v>
      </c>
      <c r="P55" s="1881" t="s">
        <v>1522</v>
      </c>
      <c r="Q55" s="1882" t="s">
        <v>1523</v>
      </c>
      <c r="R55" s="1882" t="s">
        <v>1524</v>
      </c>
    </row>
    <row r="56" spans="1:18" s="1845" customFormat="1" ht="25.5" thickTop="1" thickBot="1">
      <c r="A56" s="1179">
        <v>2</v>
      </c>
      <c r="B56" s="1180" t="s">
        <v>1413</v>
      </c>
      <c r="C56" s="276">
        <f ca="1">C13</f>
        <v>5344</v>
      </c>
      <c r="D56" s="1917"/>
      <c r="E56" s="1918"/>
      <c r="F56" s="1910"/>
      <c r="I56" s="1919" t="s">
        <v>1553</v>
      </c>
      <c r="J56" s="1920" t="s">
        <v>3027</v>
      </c>
      <c r="K56" s="1890" t="s">
        <v>1554</v>
      </c>
      <c r="L56" s="1893" t="str">
        <f ca="1">IF(L48&lt;J51,"——",L48-J53)</f>
        <v>——</v>
      </c>
      <c r="O56" s="1887" t="s">
        <v>1039</v>
      </c>
      <c r="P56" s="1888" t="s">
        <v>1527</v>
      </c>
      <c r="Q56" s="1889">
        <f ca="1">C40+J29</f>
        <v>11110</v>
      </c>
      <c r="R56" s="1889" t="s">
        <v>1528</v>
      </c>
    </row>
    <row r="57" spans="1:18" s="1845" customFormat="1" ht="24.75" thickBot="1">
      <c r="A57" s="1921"/>
      <c r="B57" s="1172" t="s">
        <v>1477</v>
      </c>
      <c r="C57" s="282">
        <f ca="1">C29</f>
        <v>5685</v>
      </c>
      <c r="D57" s="1922"/>
      <c r="E57" s="1923"/>
      <c r="F57" s="1924"/>
      <c r="I57" s="1925" t="s">
        <v>1555</v>
      </c>
      <c r="J57" s="1926" t="str">
        <f ca="1">IF(OR(M47="住宅",J51&lt;L48,J56="是"),"——",J51-L48)</f>
        <v>——</v>
      </c>
      <c r="K57" s="1890" t="s">
        <v>1556</v>
      </c>
      <c r="L57" s="1893" t="str">
        <f ca="1">IF(L48&lt;J51,"——",IF(L55="比较法",L49,IF(L55="基准地价",L50,L51)))</f>
        <v>——</v>
      </c>
      <c r="O57" s="1887" t="s">
        <v>1040</v>
      </c>
      <c r="P57" s="1888" t="s">
        <v>1557</v>
      </c>
      <c r="Q57" s="1889">
        <f ca="1">L60</f>
        <v>0</v>
      </c>
      <c r="R57" s="1889" t="s">
        <v>1558</v>
      </c>
    </row>
    <row r="58" spans="1:18" s="1845" customFormat="1" ht="24.75" thickBot="1">
      <c r="A58" s="360" t="s">
        <v>1029</v>
      </c>
      <c r="B58" s="1180" t="s">
        <v>1423</v>
      </c>
      <c r="C58" s="361">
        <f ca="1">ROUND(C59+C64+C65+C66,0)</f>
        <v>174</v>
      </c>
      <c r="D58" s="1182" t="s">
        <v>1424</v>
      </c>
      <c r="E58" s="1183"/>
      <c r="F58" s="1184"/>
      <c r="I58" s="1925" t="s">
        <v>1559</v>
      </c>
      <c r="J58" s="1927" t="e">
        <f ca="1">IF(J55&lt;0.4,0.4,J55)</f>
        <v>#VALUE!</v>
      </c>
      <c r="K58" s="1903" t="s">
        <v>1560</v>
      </c>
      <c r="L58" s="1893" t="e">
        <f ca="1">ROUND(POWER(1+L52,L47-L48)*(POWER(1+L52,L48)-1)/(POWER(1+L52,L47)-1),4)</f>
        <v>#DIV/0!</v>
      </c>
      <c r="O58" s="1897" t="s">
        <v>1041</v>
      </c>
      <c r="P58" s="1888" t="s">
        <v>1561</v>
      </c>
      <c r="Q58" s="1889">
        <f>IF(L55="比较法",L49,IF(L55="基准地价",L50,0))</f>
        <v>0</v>
      </c>
      <c r="R58" s="1889" t="s">
        <v>1528</v>
      </c>
    </row>
    <row r="59" spans="1:18" s="1845" customFormat="1" ht="24.75" thickBot="1">
      <c r="A59" s="1204" t="s">
        <v>1034</v>
      </c>
      <c r="B59" s="1172" t="s">
        <v>1428</v>
      </c>
      <c r="C59" s="24">
        <f ca="1">ROUND(IF(项目基本情况!B11="自然人",C48*F59,C60+C61+C62),1)</f>
        <v>49.7</v>
      </c>
      <c r="D59" s="1185" t="s">
        <v>1429</v>
      </c>
      <c r="E59" s="1186" t="s">
        <v>1430</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1042</v>
      </c>
      <c r="P59" s="1888" t="s">
        <v>1563</v>
      </c>
      <c r="Q59" s="1900">
        <f>L52</f>
        <v>0</v>
      </c>
      <c r="R59" s="1889"/>
    </row>
    <row r="60" spans="1:18" s="1845" customFormat="1" ht="16.5" thickBot="1">
      <c r="A60" s="1204" t="s">
        <v>1033</v>
      </c>
      <c r="B60" s="1172" t="s">
        <v>1432</v>
      </c>
      <c r="C60" s="24">
        <f ca="1">IF(项目基本情况!B11="自然人","——",ROUND(C48*F60/(1+'数据-取费表'!C42),2))</f>
        <v>0</v>
      </c>
      <c r="D60" s="1186" t="s">
        <v>1433</v>
      </c>
      <c r="E60" s="1172" t="s">
        <v>1421</v>
      </c>
      <c r="F60" s="377">
        <f t="shared" ref="F60:F66" si="0">F32</f>
        <v>5.5000000000000007E-2</v>
      </c>
      <c r="I60" s="1928" t="s">
        <v>1564</v>
      </c>
      <c r="J60" s="1929" t="str">
        <f ca="1">IF(OR(M47="住宅",J51&lt;L48,J56="是"),"0",ROUND(J59/(1+J52)^J53,0))</f>
        <v>0</v>
      </c>
      <c r="K60" s="1930" t="s">
        <v>1565</v>
      </c>
      <c r="L60" s="1929">
        <f ca="1">IF(OR(M47="住宅",L48&lt;J51),0,ROUND(L57*(L58/L59-1),0))</f>
        <v>0</v>
      </c>
      <c r="O60" s="1897" t="s">
        <v>1043</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IF(项目基本情况!B11="自然人","——",IF(D61="按租金收入计税",ROUND(C48*F61,2),IF(D61="按房产原值计税",ROUND(C57*F61*0.7,2),INDIRECT("'数据-取费表'!Aj"&amp;$G$1))))</f>
        <v>47.75</v>
      </c>
      <c r="D61" s="1831" t="s">
        <v>1437</v>
      </c>
      <c r="E61" s="1172" t="s">
        <v>1493</v>
      </c>
      <c r="F61" s="367">
        <f t="shared" si="0"/>
        <v>1.2E-2</v>
      </c>
      <c r="I61" s="1931"/>
      <c r="J61" s="1931"/>
      <c r="K61" s="1931"/>
      <c r="L61" s="1931"/>
      <c r="O61" s="1897" t="s">
        <v>1044</v>
      </c>
      <c r="P61" s="1888" t="str">
        <f>K59</f>
        <v>建筑物剩余耐用年限下的土地年期修正系数Kn</v>
      </c>
      <c r="Q61" s="1889" t="e">
        <f ca="1">L59</f>
        <v>#DIV/0!</v>
      </c>
      <c r="R61" s="1889" t="s">
        <v>1568</v>
      </c>
    </row>
    <row r="62" spans="1:18" s="1845" customFormat="1" ht="13.5" thickBot="1">
      <c r="A62" s="1204" t="s">
        <v>1494</v>
      </c>
      <c r="B62" s="1171" t="s">
        <v>1495</v>
      </c>
      <c r="C62" s="25">
        <f ca="1">IF(项目基本情况!B11="自然人","——",ROUND(F62*F63/10000,2))</f>
        <v>1.98</v>
      </c>
      <c r="D62" s="1187" t="s">
        <v>1496</v>
      </c>
      <c r="E62" s="1172" t="s">
        <v>1497</v>
      </c>
      <c r="F62" s="371">
        <f t="shared" si="0"/>
        <v>1.5</v>
      </c>
      <c r="I62" s="1932" t="s">
        <v>1569</v>
      </c>
      <c r="J62" s="1933" t="s">
        <v>1570</v>
      </c>
      <c r="K62" s="1933" t="s">
        <v>1571</v>
      </c>
      <c r="L62" s="1933" t="s">
        <v>1572</v>
      </c>
      <c r="M62" s="1934" t="s">
        <v>1573</v>
      </c>
      <c r="O62" s="1887" t="s">
        <v>1045</v>
      </c>
      <c r="P62" s="1888" t="s">
        <v>1574</v>
      </c>
      <c r="Q62" s="1889">
        <f ca="1">Q56+Q57</f>
        <v>11110</v>
      </c>
      <c r="R62" s="1889" t="s">
        <v>1046</v>
      </c>
    </row>
    <row r="63" spans="1:18" s="1845" customFormat="1" ht="13.5" thickBot="1">
      <c r="A63" s="372"/>
      <c r="B63" s="1178"/>
      <c r="C63" s="29"/>
      <c r="D63" s="1188"/>
      <c r="E63" s="1172" t="s">
        <v>1498</v>
      </c>
      <c r="F63" s="348">
        <f t="shared" ca="1" si="0"/>
        <v>13177.7</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ROUND(C57*F64,1)</f>
        <v>113.7</v>
      </c>
      <c r="D64" s="1186" t="s">
        <v>1501</v>
      </c>
      <c r="E64" s="1172" t="s">
        <v>1493</v>
      </c>
      <c r="F64" s="374">
        <f t="shared" ca="1" si="0"/>
        <v>0.02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10.7</v>
      </c>
      <c r="D65" s="1186" t="s">
        <v>1453</v>
      </c>
      <c r="E65" s="1172" t="s">
        <v>1454</v>
      </c>
      <c r="F65" s="376">
        <f t="shared" ca="1" si="0"/>
        <v>2E-3</v>
      </c>
      <c r="I65" s="1932" t="s">
        <v>1578</v>
      </c>
      <c r="J65" s="1933">
        <v>40</v>
      </c>
      <c r="K65" s="1933">
        <v>30</v>
      </c>
      <c r="L65" s="1933">
        <v>50</v>
      </c>
      <c r="M65" s="1935">
        <v>0.02</v>
      </c>
      <c r="O65" s="1887" t="s">
        <v>1039</v>
      </c>
      <c r="P65" s="1888" t="s">
        <v>1579</v>
      </c>
      <c r="Q65" s="1889">
        <f ca="1">C40+J29</f>
        <v>11110</v>
      </c>
      <c r="R65" s="1889" t="s">
        <v>1528</v>
      </c>
    </row>
    <row r="66" spans="1:18" s="1845" customFormat="1" ht="16.5" thickBot="1">
      <c r="A66" s="1204" t="s">
        <v>1503</v>
      </c>
      <c r="B66" s="1172" t="s">
        <v>1438</v>
      </c>
      <c r="C66" s="24">
        <f ca="1">ROUND(C48*F66,1)</f>
        <v>0</v>
      </c>
      <c r="D66" s="1186" t="s">
        <v>1504</v>
      </c>
      <c r="E66" s="1172" t="s">
        <v>1421</v>
      </c>
      <c r="F66" s="357">
        <f t="shared" ca="1" si="0"/>
        <v>0.02</v>
      </c>
      <c r="O66" s="1887" t="s">
        <v>1040</v>
      </c>
      <c r="P66" s="1888" t="s">
        <v>1557</v>
      </c>
      <c r="Q66" s="1889">
        <f ca="1">L60</f>
        <v>0</v>
      </c>
      <c r="R66" s="1889" t="s">
        <v>1580</v>
      </c>
    </row>
    <row r="67" spans="1:18" s="1845" customFormat="1" ht="16.5" thickBot="1">
      <c r="A67" s="1179" t="s">
        <v>1030</v>
      </c>
      <c r="B67" s="1189" t="s">
        <v>1462</v>
      </c>
      <c r="C67" s="361">
        <f ca="1">C48-C58</f>
        <v>-174</v>
      </c>
      <c r="D67" s="1185" t="s">
        <v>1463</v>
      </c>
      <c r="E67" s="1190"/>
      <c r="F67" s="1191"/>
      <c r="O67" s="1897" t="s">
        <v>1041</v>
      </c>
      <c r="P67" s="1888" t="s">
        <v>1561</v>
      </c>
      <c r="Q67" s="1936">
        <f ca="1">L51</f>
        <v>936</v>
      </c>
      <c r="R67" s="1889" t="s">
        <v>1581</v>
      </c>
    </row>
    <row r="68" spans="1:18" s="1845" customFormat="1" ht="16.5" thickBot="1">
      <c r="A68" s="1169" t="s">
        <v>1031</v>
      </c>
      <c r="B68" s="1170" t="s">
        <v>1484</v>
      </c>
      <c r="C68" s="346">
        <f ca="1">ROUND(C67*(1-((1+F70)/(1+F68))^F69)/(F68-F70),0)</f>
        <v>-3250</v>
      </c>
      <c r="D68" s="1187" t="s">
        <v>1468</v>
      </c>
      <c r="E68" s="1172" t="s">
        <v>1469</v>
      </c>
      <c r="F68" s="357">
        <f ca="1">F40</f>
        <v>4.4999999999999998E-2</v>
      </c>
      <c r="O68" s="1897" t="s">
        <v>1042</v>
      </c>
      <c r="P68" s="1937" t="s">
        <v>1582</v>
      </c>
      <c r="Q68" s="1889">
        <f ca="1">ROUND(Q69-Q70*Q71,0)</f>
        <v>46</v>
      </c>
      <c r="R68" s="1889" t="s">
        <v>1050</v>
      </c>
    </row>
    <row r="69" spans="1:18" s="1845" customFormat="1" ht="13.5" thickBot="1">
      <c r="A69" s="1173"/>
      <c r="B69" s="1174"/>
      <c r="C69" s="351"/>
      <c r="D69" s="1192" t="s">
        <v>1472</v>
      </c>
      <c r="E69" s="1172" t="s">
        <v>1473</v>
      </c>
      <c r="F69" s="379">
        <f ca="1">F41</f>
        <v>41.7</v>
      </c>
      <c r="O69" s="1897" t="s">
        <v>1047</v>
      </c>
      <c r="P69" s="1937" t="s">
        <v>1583</v>
      </c>
      <c r="Q69" s="1889">
        <f ca="1">C39</f>
        <v>474</v>
      </c>
      <c r="R69" s="1889" t="s">
        <v>1528</v>
      </c>
    </row>
    <row r="70" spans="1:18" s="1845" customFormat="1" ht="13.5" thickBot="1">
      <c r="A70" s="1176"/>
      <c r="B70" s="1177"/>
      <c r="C70" s="355"/>
      <c r="D70" s="1188"/>
      <c r="E70" s="1172" t="s">
        <v>1476</v>
      </c>
      <c r="F70" s="1278"/>
      <c r="O70" s="1897" t="s">
        <v>1048</v>
      </c>
      <c r="P70" s="1937" t="s">
        <v>1584</v>
      </c>
      <c r="Q70" s="1889">
        <f ca="1">C13</f>
        <v>5344</v>
      </c>
      <c r="R70" s="1889" t="s">
        <v>1528</v>
      </c>
    </row>
    <row r="71" spans="1:18" s="1845" customFormat="1" ht="13.5" thickBot="1">
      <c r="A71" s="1193" t="s">
        <v>1032</v>
      </c>
      <c r="B71" s="1194" t="s">
        <v>1486</v>
      </c>
      <c r="C71" s="382">
        <f ca="1">ROUND(C68*10000/F71,0)</f>
        <v>-1988</v>
      </c>
      <c r="D71" s="1195" t="s">
        <v>1487</v>
      </c>
      <c r="E71" s="1196" t="s">
        <v>1488</v>
      </c>
      <c r="F71" s="385">
        <f ca="1">F43</f>
        <v>16346.349999999999</v>
      </c>
      <c r="O71" s="1897" t="s">
        <v>1049</v>
      </c>
      <c r="P71" s="1937" t="s">
        <v>1585</v>
      </c>
      <c r="Q71" s="1900">
        <f ca="1">C76</f>
        <v>0.08</v>
      </c>
      <c r="R71" s="1889"/>
    </row>
    <row r="72" spans="1:18" s="1845" customFormat="1" ht="13.5" thickBot="1">
      <c r="B72" s="796"/>
      <c r="C72" s="796"/>
      <c r="O72" s="1897" t="s">
        <v>1043</v>
      </c>
      <c r="P72" s="1888" t="s">
        <v>1563</v>
      </c>
      <c r="Q72" s="1900">
        <f>L52</f>
        <v>0</v>
      </c>
      <c r="R72" s="1889"/>
    </row>
    <row r="73" spans="1:18" ht="16.5" thickBot="1">
      <c r="A73" s="1845"/>
      <c r="B73" s="796"/>
      <c r="C73" s="796"/>
      <c r="D73" s="1845"/>
      <c r="E73" s="1845"/>
      <c r="F73" s="1845"/>
      <c r="O73" s="1897" t="s">
        <v>1044</v>
      </c>
      <c r="P73" s="1888" t="s">
        <v>1566</v>
      </c>
      <c r="Q73" s="1889" t="e">
        <f ca="1">L58</f>
        <v>#DIV/0!</v>
      </c>
      <c r="R73" s="1889" t="s">
        <v>1567</v>
      </c>
    </row>
    <row r="74" spans="1:18" ht="13.5" thickBot="1">
      <c r="A74" s="1845"/>
      <c r="B74" s="317" t="s">
        <v>1586</v>
      </c>
      <c r="C74" s="1939"/>
      <c r="D74" s="1845"/>
      <c r="E74" s="1845"/>
      <c r="F74" s="1845"/>
      <c r="O74" s="1897" t="s">
        <v>1051</v>
      </c>
      <c r="P74" s="1888" t="str">
        <f>K59</f>
        <v>建筑物剩余耐用年限下的土地年期修正系数Kn</v>
      </c>
      <c r="Q74" s="1889" t="e">
        <f ca="1">L59</f>
        <v>#DIV/0!</v>
      </c>
      <c r="R74" s="1889" t="s">
        <v>1568</v>
      </c>
    </row>
    <row r="75" spans="1:18" ht="13.5" thickBot="1">
      <c r="A75" s="1845"/>
      <c r="B75" s="386" t="s">
        <v>1505</v>
      </c>
      <c r="C75" s="387">
        <f ca="1">ROUND(C13*C76,0)</f>
        <v>428</v>
      </c>
      <c r="D75" s="1845"/>
      <c r="E75" s="1845"/>
      <c r="F75" s="1845"/>
      <c r="K75" s="1871"/>
      <c r="L75" s="1845"/>
      <c r="O75" s="1887" t="s">
        <v>1045</v>
      </c>
      <c r="P75" s="1888" t="s">
        <v>1548</v>
      </c>
      <c r="Q75" s="1889">
        <f ca="1">Q65+Q66</f>
        <v>11110</v>
      </c>
      <c r="R75" s="1889" t="s">
        <v>1046</v>
      </c>
    </row>
    <row r="76" spans="1:18">
      <c r="B76" s="388" t="s">
        <v>1506</v>
      </c>
      <c r="C76" s="389">
        <f ca="1">INDIRECT("'数据-取费表'!j"&amp;$G$1)</f>
        <v>0.08</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9.6999999999999975E-2</v>
      </c>
    </row>
    <row r="80" spans="1:18">
      <c r="B80" s="386" t="s">
        <v>1510</v>
      </c>
      <c r="C80" s="318">
        <f ca="1">ROUND(C75/C39,3)</f>
        <v>0.90300000000000002</v>
      </c>
    </row>
    <row r="81" spans="2:3">
      <c r="B81" s="314" t="s">
        <v>1511</v>
      </c>
      <c r="C81" s="282"/>
    </row>
    <row r="82" spans="2:3">
      <c r="B82" s="317" t="s">
        <v>1512</v>
      </c>
      <c r="C82" s="319">
        <f ca="1">1-C83</f>
        <v>0.51900000000000002</v>
      </c>
    </row>
    <row r="83" spans="2:3">
      <c r="B83" s="317" t="s">
        <v>1513</v>
      </c>
      <c r="C83" s="318">
        <f ca="1">ROUND(C13/C40,3)</f>
        <v>0.48099999999999998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1386</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1034</v>
      </c>
      <c r="B6" s="3143" t="s">
        <v>1402</v>
      </c>
      <c r="C6" s="1299">
        <f ca="1">ROUND(F6*F8*F7*(1-F9),0)</f>
        <v>0</v>
      </c>
      <c r="D6" s="164" t="s">
        <v>3004</v>
      </c>
      <c r="E6" s="347" t="s">
        <v>1404</v>
      </c>
      <c r="F6" s="348">
        <f ca="1">INDIRECT("'数据-取费表'!u"&amp;$G$1)</f>
        <v>0</v>
      </c>
      <c r="G6" s="1854"/>
      <c r="H6" s="1294" t="s">
        <v>1034</v>
      </c>
      <c r="I6" s="3143" t="s">
        <v>1402</v>
      </c>
      <c r="J6" s="346">
        <f ca="1">ROUND(M6*M8*M7*(1-M9),0)</f>
        <v>0</v>
      </c>
      <c r="K6" s="1837" t="s">
        <v>3005</v>
      </c>
      <c r="L6" s="347" t="s">
        <v>1404</v>
      </c>
      <c r="M6" s="348">
        <f ca="1">INDIRECT("'数据-取费表'!z"&amp;$G$1)</f>
        <v>0</v>
      </c>
    </row>
    <row r="7" spans="1:37" ht="18" customHeight="1">
      <c r="A7" s="1298"/>
      <c r="B7" s="3144"/>
      <c r="C7" s="1300"/>
      <c r="D7" s="352"/>
      <c r="E7" s="1301" t="s">
        <v>1405</v>
      </c>
      <c r="F7" s="348">
        <f ca="1">IF(INDIRECT("'数据-取费表'!ah"&amp;$G$1)="",INDIRECT("'数据-取费表'!k"&amp;$G$1),INDIRECT("'数据-取费表'!ah"&amp;$G$1))</f>
        <v>0</v>
      </c>
      <c r="G7" s="1854"/>
      <c r="H7" s="349"/>
      <c r="I7" s="3144"/>
      <c r="J7" s="351"/>
      <c r="K7" s="352"/>
      <c r="L7" s="347" t="s">
        <v>1405</v>
      </c>
      <c r="M7" s="348">
        <f ca="1">F7</f>
        <v>0</v>
      </c>
    </row>
    <row r="8" spans="1:37" ht="18" customHeight="1">
      <c r="A8" s="349"/>
      <c r="B8" s="3144"/>
      <c r="C8" s="351"/>
      <c r="D8" s="352"/>
      <c r="E8" s="347" t="s">
        <v>1406</v>
      </c>
      <c r="F8" s="348">
        <f ca="1">INDIRECT("'数据-取费表'!ai"&amp;$G$1)</f>
        <v>0</v>
      </c>
      <c r="G8" s="1854"/>
      <c r="H8" s="349"/>
      <c r="I8" s="3144"/>
      <c r="J8" s="351"/>
      <c r="K8" s="352"/>
      <c r="L8" s="347" t="s">
        <v>1406</v>
      </c>
      <c r="M8" s="348">
        <f ca="1">INDIRECT("'数据-取费表'!ai"&amp;$G$1)</f>
        <v>0</v>
      </c>
    </row>
    <row r="9" spans="1:37" ht="18" customHeight="1">
      <c r="A9" s="349"/>
      <c r="B9" s="3145"/>
      <c r="C9" s="351"/>
      <c r="D9" s="352"/>
      <c r="E9" s="347" t="s">
        <v>1407</v>
      </c>
      <c r="F9" s="357">
        <f ca="1">INDIRECT("'数据-取费表'!w"&amp;$G$1)</f>
        <v>0</v>
      </c>
      <c r="G9" s="1854"/>
      <c r="H9" s="349"/>
      <c r="I9" s="3145"/>
      <c r="J9" s="351"/>
      <c r="K9" s="352"/>
      <c r="L9" s="358" t="s">
        <v>1407</v>
      </c>
      <c r="M9" s="359">
        <f ca="1">INDIRECT("'数据-取费表'!ab"&amp;$G$1)</f>
        <v>0</v>
      </c>
    </row>
    <row r="10" spans="1:37" ht="18" customHeight="1">
      <c r="A10" s="1294" t="s">
        <v>1038</v>
      </c>
      <c r="B10" s="1826" t="s">
        <v>1408</v>
      </c>
      <c r="C10" s="361">
        <f ca="1">ROUND(IF(F10="押一",C6/12*F11,IF(F10="押二",C6/12*2*F11,IF(F10="押三",C6/12*3*F11,C11*F11))),0)</f>
        <v>0</v>
      </c>
      <c r="D10" s="1827" t="s">
        <v>3015</v>
      </c>
      <c r="E10" s="358" t="s">
        <v>1409</v>
      </c>
      <c r="F10" s="1369"/>
      <c r="G10" s="1854"/>
      <c r="H10" s="1294" t="s">
        <v>1038</v>
      </c>
      <c r="I10" s="1826" t="s">
        <v>1408</v>
      </c>
      <c r="J10" s="346">
        <f ca="1">ROUND(IF(M10="押一",J6/12*M11,IF(M10="押二",J6/12*2*M11,IF(M10="押三",J6/12*3*M11,J11*M11))),0)</f>
        <v>0</v>
      </c>
      <c r="K10" s="1838" t="s">
        <v>3017</v>
      </c>
      <c r="L10" s="358" t="s">
        <v>1409</v>
      </c>
      <c r="M10" s="1369"/>
    </row>
    <row r="11" spans="1:37" ht="18" customHeight="1">
      <c r="A11" s="353"/>
      <c r="B11" s="1828" t="s">
        <v>1601</v>
      </c>
      <c r="C11" s="1181"/>
      <c r="D11" s="352"/>
      <c r="E11" s="358" t="s">
        <v>1411</v>
      </c>
      <c r="F11" s="359">
        <f ca="1">'数据-取费表'!B39</f>
        <v>1.4999999999999999E-2</v>
      </c>
      <c r="G11" s="1854"/>
      <c r="H11" s="1302"/>
      <c r="I11" s="1828" t="s">
        <v>1602</v>
      </c>
      <c r="J11" s="1181"/>
      <c r="K11" s="748"/>
      <c r="L11" s="358" t="s">
        <v>1411</v>
      </c>
      <c r="M11" s="1059">
        <f ca="1">'数据-取费表'!B39</f>
        <v>1.4999999999999999E-2</v>
      </c>
    </row>
    <row r="12" spans="1:37" ht="18" customHeight="1" thickBot="1">
      <c r="A12" s="1336" t="s">
        <v>1074</v>
      </c>
      <c r="B12" s="1830" t="s">
        <v>1412</v>
      </c>
      <c r="C12" s="1337"/>
      <c r="D12" s="1338"/>
      <c r="E12" s="1343"/>
      <c r="F12" s="1339"/>
      <c r="G12" s="1854"/>
      <c r="H12" s="1336" t="s">
        <v>1074</v>
      </c>
      <c r="I12" s="1830"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4"/>
      <c r="H13" s="1332">
        <v>2</v>
      </c>
      <c r="I13" s="1333" t="s">
        <v>1413</v>
      </c>
      <c r="J13" s="1293">
        <f ca="1">ROUND(J14*J15,0)</f>
        <v>0</v>
      </c>
      <c r="K13" s="1340" t="s">
        <v>1414</v>
      </c>
      <c r="L13" s="1855"/>
      <c r="M13" s="1856"/>
    </row>
    <row r="14" spans="1:37" ht="18" customHeight="1">
      <c r="A14" s="1204" t="s">
        <v>1033</v>
      </c>
      <c r="B14" s="347" t="s">
        <v>1416</v>
      </c>
      <c r="C14" s="363">
        <f ca="1">ROUND(INDIRECT("'数据-取费表'!l"&amp;$G$1)*F43+'数据-取费表'!L14*INDIRECT("'数据-取费表'!S"&amp;$G$1),0)</f>
        <v>0</v>
      </c>
      <c r="D14" s="1803" t="s">
        <v>1417</v>
      </c>
      <c r="E14" s="1797"/>
      <c r="F14" s="364"/>
      <c r="G14" s="1854"/>
      <c r="H14" s="1204" t="s">
        <v>1034</v>
      </c>
      <c r="I14" s="347" t="s">
        <v>1418</v>
      </c>
      <c r="J14" s="24">
        <f ca="1">C29</f>
        <v>0</v>
      </c>
      <c r="K14" s="15"/>
      <c r="L14" s="982"/>
      <c r="M14" s="983"/>
    </row>
    <row r="15" spans="1:37" s="1861" customFormat="1" ht="18" customHeight="1" thickBot="1">
      <c r="A15" s="1204" t="s">
        <v>1035</v>
      </c>
      <c r="B15" s="347" t="s">
        <v>1419</v>
      </c>
      <c r="C15" s="24">
        <f ca="1">ROUND(C14*F15,0)</f>
        <v>0</v>
      </c>
      <c r="D15" s="365" t="s">
        <v>1420</v>
      </c>
      <c r="E15" s="365" t="s">
        <v>1421</v>
      </c>
      <c r="F15" s="366">
        <f>'数据-取费表'!B33</f>
        <v>0.05</v>
      </c>
      <c r="G15" s="1857"/>
      <c r="H15" s="1342" t="s">
        <v>1038</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1422</v>
      </c>
      <c r="C16" s="24">
        <f ca="1">ROUND(INDIRECT("'数据-取费表'!l"&amp;$G$1)*F43*F16,0)</f>
        <v>0</v>
      </c>
      <c r="D16" s="347" t="s">
        <v>1420</v>
      </c>
      <c r="E16" s="347" t="s">
        <v>1421</v>
      </c>
      <c r="F16" s="367">
        <f ca="1">IF(INDIRECT("'数据-取费表'!c"&amp;$G$1)="住宅",'数据-取费表'!B34,0)</f>
        <v>0</v>
      </c>
      <c r="G16" s="1854"/>
      <c r="H16" s="1332" t="s">
        <v>1029</v>
      </c>
      <c r="I16" s="1333" t="s">
        <v>1423</v>
      </c>
      <c r="J16" s="355">
        <f ca="1">ROUND(J17+J22+J23+J24,0)</f>
        <v>0</v>
      </c>
      <c r="K16" s="1340" t="s">
        <v>1424</v>
      </c>
      <c r="L16" s="1341"/>
      <c r="M16" s="1297"/>
    </row>
    <row r="17" spans="1:37" s="1861" customFormat="1" ht="18" customHeight="1">
      <c r="A17" s="1204" t="s">
        <v>1389</v>
      </c>
      <c r="B17" s="347" t="s">
        <v>1425</v>
      </c>
      <c r="C17" s="24">
        <f ca="1">ROUND(F17*(F43+INDIRECT("'数据-取费表'!S"&amp;$G$1)),0)</f>
        <v>0</v>
      </c>
      <c r="D17" s="347" t="s">
        <v>1426</v>
      </c>
      <c r="E17" s="347" t="s">
        <v>1427</v>
      </c>
      <c r="F17" s="26">
        <f>'数据-取费表'!B35</f>
        <v>150</v>
      </c>
      <c r="G17" s="1857"/>
      <c r="H17" s="1204" t="s">
        <v>1034</v>
      </c>
      <c r="I17" s="347" t="s">
        <v>1428</v>
      </c>
      <c r="J17" s="24">
        <f ca="1">ROUND(IF(项目基本情况!B11="自然人",J5*M17,J18+J19+J20),0)</f>
        <v>0</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1431</v>
      </c>
      <c r="C18" s="24">
        <f ca="1">ROUND(C14*F18,0)</f>
        <v>0</v>
      </c>
      <c r="D18" s="347" t="s">
        <v>1420</v>
      </c>
      <c r="E18" s="347" t="s">
        <v>1421</v>
      </c>
      <c r="F18" s="367">
        <f>'数据-取费表'!B36</f>
        <v>1.4999999999999999E-2</v>
      </c>
      <c r="G18" s="1857"/>
      <c r="H18" s="1204" t="s">
        <v>1033</v>
      </c>
      <c r="I18" s="347" t="s">
        <v>1432</v>
      </c>
      <c r="J18" s="24">
        <f ca="1">ROUND(J5*M18/(1+'数据-取费表'!C42),0)</f>
        <v>0</v>
      </c>
      <c r="K18" s="1801" t="s">
        <v>1433</v>
      </c>
      <c r="L18" s="347" t="s">
        <v>1421</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1034</v>
      </c>
      <c r="B19" s="347" t="s">
        <v>1434</v>
      </c>
      <c r="C19" s="24">
        <f ca="1">SUM(C14:C18)</f>
        <v>0</v>
      </c>
      <c r="D19" s="140" t="s">
        <v>1435</v>
      </c>
      <c r="E19" s="1821"/>
      <c r="F19" s="26"/>
      <c r="G19" s="1854"/>
      <c r="H19" s="1204" t="s">
        <v>1035</v>
      </c>
      <c r="I19" s="347" t="s">
        <v>1436</v>
      </c>
      <c r="J19" s="24">
        <f ca="1">IF(K19="按租金收入计税",ROUND(J5*M19,0),ROUND(C29*M19*0.7,0))</f>
        <v>0</v>
      </c>
      <c r="K19" s="1831" t="s">
        <v>1437</v>
      </c>
      <c r="L19" s="347" t="s">
        <v>1421</v>
      </c>
      <c r="M19" s="367">
        <f>IF(K19="按租金收入计税",'数据-取费表'!B51,'数据-取费表'!B50)</f>
        <v>1.2E-2</v>
      </c>
    </row>
    <row r="20" spans="1:37" s="1861" customFormat="1" ht="18" customHeight="1">
      <c r="A20" s="1204" t="s">
        <v>1038</v>
      </c>
      <c r="B20" s="347" t="s">
        <v>1438</v>
      </c>
      <c r="C20" s="24">
        <f ca="1">ROUND(C19*F20,0)</f>
        <v>0</v>
      </c>
      <c r="D20" s="369" t="s">
        <v>1439</v>
      </c>
      <c r="E20" s="347" t="s">
        <v>1421</v>
      </c>
      <c r="F20" s="367">
        <f>'数据-取费表'!B37</f>
        <v>0.02</v>
      </c>
      <c r="G20" s="1857"/>
      <c r="H20" s="1204" t="s">
        <v>1388</v>
      </c>
      <c r="I20" s="164" t="s">
        <v>1440</v>
      </c>
      <c r="J20" s="25">
        <f ca="1">ROUND(M20*M21,0)</f>
        <v>0</v>
      </c>
      <c r="K20" s="370" t="s">
        <v>1441</v>
      </c>
      <c r="L20" s="347" t="s">
        <v>1442</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1074</v>
      </c>
      <c r="B21" s="347" t="s">
        <v>1443</v>
      </c>
      <c r="C21" s="24" t="s">
        <v>1</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1447</v>
      </c>
      <c r="C22" s="24"/>
      <c r="D22" s="140" t="str">
        <f>IF(F23&lt;=1,"单利计息。","复利计息。")&amp;"建造成本、管理费用、销售费用产生的利息。"</f>
        <v>单利计息。建造成本、管理费用、销售费用产生的利息。</v>
      </c>
      <c r="E22" s="1821"/>
      <c r="F22" s="26"/>
      <c r="G22" s="1854"/>
      <c r="H22" s="1204" t="s">
        <v>1038</v>
      </c>
      <c r="I22" s="347" t="s">
        <v>1448</v>
      </c>
      <c r="J22" s="24">
        <f ca="1">ROUND(J14*M22,0)</f>
        <v>0</v>
      </c>
      <c r="K22" s="1801" t="s">
        <v>1449</v>
      </c>
      <c r="L22" s="347" t="s">
        <v>1421</v>
      </c>
      <c r="M22" s="374">
        <f ca="1">INDIRECT("'数据-取费表'!Ak"&amp;$G$1)</f>
        <v>0</v>
      </c>
    </row>
    <row r="23" spans="1:37" s="1861" customFormat="1" ht="18" customHeight="1">
      <c r="A23" s="1204" t="s">
        <v>1033</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1451</v>
      </c>
      <c r="F23" s="371">
        <f>'数据-取费表'!B20</f>
        <v>1</v>
      </c>
      <c r="G23" s="1857"/>
      <c r="H23" s="1204" t="s">
        <v>1074</v>
      </c>
      <c r="I23" s="347" t="s">
        <v>1452</v>
      </c>
      <c r="J23" s="24">
        <f ca="1">ROUND(J13*M23,0)</f>
        <v>0</v>
      </c>
      <c r="K23" s="1801" t="s">
        <v>1453</v>
      </c>
      <c r="L23" s="347" t="s">
        <v>1454</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7"/>
      <c r="H24" s="1342" t="s">
        <v>1392</v>
      </c>
      <c r="I24" s="1343" t="s">
        <v>1438</v>
      </c>
      <c r="J24" s="1344">
        <f ca="1">ROUND(J5*M24,0)</f>
        <v>0</v>
      </c>
      <c r="K24" s="1345" t="s">
        <v>1458</v>
      </c>
      <c r="L24" s="1343" t="s">
        <v>1454</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1030</v>
      </c>
      <c r="I25" s="1347" t="s">
        <v>1462</v>
      </c>
      <c r="J25" s="355">
        <f ca="1">J5-J16</f>
        <v>0</v>
      </c>
      <c r="K25" s="1348" t="s">
        <v>1463</v>
      </c>
      <c r="L25" s="1349"/>
      <c r="M25" s="1350"/>
    </row>
    <row r="26" spans="1:37" ht="18" customHeight="1">
      <c r="A26" s="1204" t="s">
        <v>1033</v>
      </c>
      <c r="B26" s="347" t="s">
        <v>1464</v>
      </c>
      <c r="C26" s="24">
        <f ca="1">ROUND((C19+C20)*F26,0)</f>
        <v>0</v>
      </c>
      <c r="D26" s="369" t="s">
        <v>1465</v>
      </c>
      <c r="E26" s="358" t="s">
        <v>1466</v>
      </c>
      <c r="F26" s="357">
        <f ca="1">INDIRECT("'数据-取费表'!q"&amp;$G$1)</f>
        <v>0</v>
      </c>
      <c r="G26" s="1854"/>
      <c r="H26" s="344" t="s">
        <v>1031</v>
      </c>
      <c r="I26" s="345" t="s">
        <v>1467</v>
      </c>
      <c r="J26" s="346">
        <f ca="1">IF(J5&lt;&gt;0,ROUND(J25*(1-((1+M28)/(1+M26))^M27)/(M26-M28),0),0)</f>
        <v>0</v>
      </c>
      <c r="K26" s="370" t="s">
        <v>1468</v>
      </c>
      <c r="L26" s="347" t="s">
        <v>1469</v>
      </c>
      <c r="M26" s="357">
        <f ca="1">INDIRECT("'数据-取费表'!I"&amp;$G$1)</f>
        <v>0</v>
      </c>
    </row>
    <row r="27" spans="1:37" ht="18" customHeight="1">
      <c r="A27" s="1204" t="s">
        <v>1035</v>
      </c>
      <c r="B27" s="347" t="s">
        <v>1470</v>
      </c>
      <c r="C27" s="24">
        <f ca="1">ROUND(F21*F26,4)</f>
        <v>0</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1036</v>
      </c>
      <c r="B28" s="347" t="s">
        <v>1474</v>
      </c>
      <c r="C28" s="24">
        <f>ROUND(F28/(1+'数据-取费表'!C42),4)</f>
        <v>5.2400000000000002E-2</v>
      </c>
      <c r="D28" s="369" t="s">
        <v>1475</v>
      </c>
      <c r="E28" s="347" t="s">
        <v>1421</v>
      </c>
      <c r="F28" s="367">
        <f>'数据-取费表'!B41</f>
        <v>5.5000000000000007E-2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1037</v>
      </c>
      <c r="B29" s="1343" t="s">
        <v>1477</v>
      </c>
      <c r="C29" s="1344">
        <f ca="1">ROUND((C19+C20+C23+C26)/(1-F21-C24-C27-C28),0)</f>
        <v>0</v>
      </c>
      <c r="D29" s="1345"/>
      <c r="E29" s="1343"/>
      <c r="F29" s="1346"/>
      <c r="G29" s="1857"/>
      <c r="H29" s="380" t="s">
        <v>1032</v>
      </c>
      <c r="I29" s="381" t="s">
        <v>1478</v>
      </c>
      <c r="J29" s="382">
        <f ca="1">ROUND(J26/(1+F40)^F41,0)</f>
        <v>0</v>
      </c>
      <c r="K29" s="383" t="s">
        <v>1479</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1029</v>
      </c>
      <c r="B30" s="1333" t="s">
        <v>1423</v>
      </c>
      <c r="C30" s="355">
        <f ca="1">ROUND(C31+C36+C37+C38,0)</f>
        <v>0</v>
      </c>
      <c r="D30" s="1340" t="s">
        <v>1424</v>
      </c>
      <c r="E30" s="1341"/>
      <c r="F30" s="1297"/>
      <c r="G30" s="1854"/>
      <c r="H30" s="745"/>
      <c r="I30" s="746"/>
      <c r="J30" s="747"/>
      <c r="K30" s="748"/>
      <c r="L30" s="749"/>
      <c r="M30" s="750"/>
    </row>
    <row r="31" spans="1:37" ht="18" customHeight="1">
      <c r="A31" s="1204" t="s">
        <v>1034</v>
      </c>
      <c r="B31" s="347" t="s">
        <v>1428</v>
      </c>
      <c r="C31" s="24">
        <f ca="1">ROUND(IF(项目基本情况!B11="自然人",C5*F31,C32+C33+C34),0)</f>
        <v>0</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1033</v>
      </c>
      <c r="B32" s="347" t="s">
        <v>1432</v>
      </c>
      <c r="C32" s="24">
        <f ca="1">IF(项目基本情况!B11="自然人","——",ROUND(C5*F32/(1+'数据-取费表'!C42),0))</f>
        <v>0</v>
      </c>
      <c r="D32" s="1801" t="s">
        <v>1433</v>
      </c>
      <c r="E32" s="347" t="s">
        <v>1421</v>
      </c>
      <c r="F32" s="377">
        <f>'数据-取费表'!B41</f>
        <v>5.5000000000000007E-2</v>
      </c>
      <c r="G32" s="1854"/>
      <c r="H32" s="745"/>
      <c r="I32" s="746"/>
      <c r="J32" s="747"/>
      <c r="K32" s="748"/>
      <c r="L32" s="749"/>
      <c r="M32" s="750"/>
    </row>
    <row r="33" spans="1:18" ht="18" customHeight="1">
      <c r="A33" s="1204" t="s">
        <v>1035</v>
      </c>
      <c r="B33" s="347" t="s">
        <v>1436</v>
      </c>
      <c r="C33" s="24">
        <f ca="1">IF(项目基本情况!B11="自然人","——",IF(D33="按租金收入计税",ROUND(C5*F33,0),IF(D33="按房产原值计税",ROUND(C29*F33*0.7,0),INDIRECT("'数据-取费表'!Aj"&amp;$G$1))))</f>
        <v>0</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1388</v>
      </c>
      <c r="B34" s="164" t="s">
        <v>1440</v>
      </c>
      <c r="C34" s="25">
        <f ca="1">IF(项目基本情况!B11="自然人","——",ROUND(F34*F35,))</f>
        <v>0</v>
      </c>
      <c r="D34" s="370" t="s">
        <v>1441</v>
      </c>
      <c r="E34" s="347" t="s">
        <v>1442</v>
      </c>
      <c r="F34" s="371">
        <f>'数据-取费表'!B52</f>
        <v>1.5</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1038</v>
      </c>
      <c r="B36" s="347" t="s">
        <v>1448</v>
      </c>
      <c r="C36" s="24">
        <f ca="1">ROUND(C29*F36,0)</f>
        <v>0</v>
      </c>
      <c r="D36" s="1801" t="s">
        <v>1481</v>
      </c>
      <c r="E36" s="347" t="s">
        <v>1421</v>
      </c>
      <c r="F36" s="374">
        <f ca="1">INDIRECT("'数据-取费表'!Ak"&amp;$G$1)</f>
        <v>0</v>
      </c>
      <c r="G36" s="1854"/>
      <c r="H36" s="1862"/>
      <c r="I36" s="1863"/>
      <c r="J36" s="1864"/>
      <c r="K36" s="751"/>
      <c r="L36" s="1862"/>
      <c r="M36" s="1862"/>
    </row>
    <row r="37" spans="1:18" ht="18" customHeight="1">
      <c r="A37" s="1204" t="s">
        <v>1074</v>
      </c>
      <c r="B37" s="347" t="s">
        <v>1452</v>
      </c>
      <c r="C37" s="24">
        <f ca="1">ROUND(C13*F37,0)</f>
        <v>0</v>
      </c>
      <c r="D37" s="1801" t="s">
        <v>1453</v>
      </c>
      <c r="E37" s="347" t="s">
        <v>1454</v>
      </c>
      <c r="F37" s="376">
        <f ca="1">INDIRECT("'数据-取费表'!Al"&amp;$G$1)</f>
        <v>0</v>
      </c>
      <c r="G37" s="1854"/>
      <c r="H37" s="1862"/>
      <c r="I37" s="1863"/>
      <c r="J37" s="1864"/>
      <c r="K37" s="751"/>
      <c r="L37" s="1862"/>
      <c r="M37" s="1862"/>
    </row>
    <row r="38" spans="1:18" ht="18" customHeight="1" thickBot="1">
      <c r="A38" s="1342" t="s">
        <v>1392</v>
      </c>
      <c r="B38" s="1343" t="s">
        <v>1438</v>
      </c>
      <c r="C38" s="1344">
        <f ca="1">ROUND(C5*F38,1)</f>
        <v>0</v>
      </c>
      <c r="D38" s="1345" t="s">
        <v>1458</v>
      </c>
      <c r="E38" s="1343" t="s">
        <v>1454</v>
      </c>
      <c r="F38" s="1339">
        <f ca="1">INDIRECT("'数据-取费表'!Am"&amp;$G$1)</f>
        <v>0</v>
      </c>
      <c r="G38" s="1854"/>
      <c r="H38" s="1862"/>
      <c r="I38" s="1863"/>
      <c r="J38" s="1864"/>
      <c r="K38" s="1868"/>
      <c r="L38" s="1862"/>
      <c r="M38" s="1862"/>
    </row>
    <row r="39" spans="1:18" ht="24.6" customHeight="1" thickTop="1">
      <c r="A39" s="1332" t="s">
        <v>1030</v>
      </c>
      <c r="B39" s="1347" t="s">
        <v>1482</v>
      </c>
      <c r="C39" s="355">
        <f ca="1">C5-C30</f>
        <v>0</v>
      </c>
      <c r="D39" s="1348" t="s">
        <v>1483</v>
      </c>
      <c r="E39" s="1349"/>
      <c r="F39" s="1350"/>
      <c r="G39" s="1854"/>
      <c r="H39" s="1862"/>
      <c r="I39" s="1863"/>
      <c r="J39" s="1864"/>
      <c r="K39" s="1868"/>
      <c r="L39" s="1862"/>
      <c r="M39" s="1862"/>
    </row>
    <row r="40" spans="1:18" ht="18" customHeight="1">
      <c r="A40" s="344" t="s">
        <v>1031</v>
      </c>
      <c r="B40" s="345" t="s">
        <v>1484</v>
      </c>
      <c r="C40" s="346" t="e">
        <f ca="1">ROUND(C39*(1-((1+F42)/(1+F40))^F41)/(F40-F42),0)</f>
        <v>#DIV/0!</v>
      </c>
      <c r="D40" s="370" t="s">
        <v>1468</v>
      </c>
      <c r="E40" s="347" t="s">
        <v>1469</v>
      </c>
      <c r="F40" s="357">
        <f ca="1">INDIRECT("'数据-取费表'!I"&amp;$G$1)</f>
        <v>0</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1032</v>
      </c>
      <c r="B43" s="381" t="s">
        <v>1486</v>
      </c>
      <c r="C43" s="382" t="e">
        <f ca="1">ROUND(C40/F43,0)</f>
        <v>#DIV/0!</v>
      </c>
      <c r="D43" s="383" t="s">
        <v>1487</v>
      </c>
      <c r="E43" s="384" t="s">
        <v>1488</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1518</v>
      </c>
      <c r="P45" s="1842"/>
      <c r="Q45" s="1842"/>
      <c r="R45" s="1842"/>
    </row>
    <row r="46" spans="1:18" s="1845" customFormat="1" ht="13.5" thickBot="1">
      <c r="A46" s="1873" t="s">
        <v>1519</v>
      </c>
      <c r="C46" s="1874" t="e">
        <f ca="1">ROUND(C45/10000,0)</f>
        <v>#DIV/0!</v>
      </c>
      <c r="D46" s="1875" t="str">
        <f>C2</f>
        <v>万元</v>
      </c>
      <c r="I46" s="1876" t="s">
        <v>1520</v>
      </c>
      <c r="J46" s="1877"/>
      <c r="K46" s="1878"/>
      <c r="L46" s="1879" t="e">
        <f ca="1">IF(M47="住宅",0,IF(L48&gt;J51,L60,J60))</f>
        <v>#DIV/0!</v>
      </c>
      <c r="O46" s="1880" t="s">
        <v>1521</v>
      </c>
      <c r="P46" s="1881" t="s">
        <v>1522</v>
      </c>
      <c r="Q46" s="1882" t="s">
        <v>1523</v>
      </c>
      <c r="R46" s="1882" t="s">
        <v>1524</v>
      </c>
    </row>
    <row r="47" spans="1:18" s="1845" customFormat="1" ht="13.5" thickBot="1">
      <c r="A47" s="1168" t="s">
        <v>1395</v>
      </c>
      <c r="B47" s="1200" t="s">
        <v>1396</v>
      </c>
      <c r="C47" s="1200" t="s">
        <v>1397</v>
      </c>
      <c r="D47" s="1200" t="s">
        <v>1398</v>
      </c>
      <c r="E47" s="1282" t="s">
        <v>1399</v>
      </c>
      <c r="F47" s="1283"/>
      <c r="G47" s="792"/>
      <c r="I47" s="1883" t="s">
        <v>1525</v>
      </c>
      <c r="J47" s="1884"/>
      <c r="K47" s="1885" t="s">
        <v>1526</v>
      </c>
      <c r="L47" s="1886">
        <f ca="1">INDIRECT("'数据-取费表'!d"&amp;$G$1)</f>
        <v>0</v>
      </c>
      <c r="M47" s="1841" t="str">
        <f>IF(ISNUMBER(FIND("住宅",C1)),"住宅","非住宅")</f>
        <v>非住宅</v>
      </c>
      <c r="O47" s="1887" t="s">
        <v>1039</v>
      </c>
      <c r="P47" s="1888" t="s">
        <v>1527</v>
      </c>
      <c r="Q47" s="1889" t="e">
        <f ca="1">C40+J29</f>
        <v>#DIV/0!</v>
      </c>
      <c r="R47" s="1889" t="s">
        <v>1528</v>
      </c>
    </row>
    <row r="48" spans="1:18" s="1845" customFormat="1" ht="28.5" thickBot="1">
      <c r="A48" s="1363" t="s">
        <v>1134</v>
      </c>
      <c r="B48" s="345" t="s">
        <v>1400</v>
      </c>
      <c r="C48" s="1820">
        <f ca="1">C49+C53+C55</f>
        <v>0</v>
      </c>
      <c r="D48" s="1365"/>
      <c r="E48" s="1366"/>
      <c r="F48" s="1184"/>
      <c r="G48" s="792"/>
      <c r="H48" s="793"/>
      <c r="I48" s="1890" t="s">
        <v>1529</v>
      </c>
      <c r="J48" s="1891"/>
      <c r="K48" s="1892" t="s">
        <v>1530</v>
      </c>
      <c r="L48" s="1893">
        <f ca="1">INDIRECT("'数据-取费表'!f"&amp;$G$1)</f>
        <v>0</v>
      </c>
      <c r="O48" s="1887" t="s">
        <v>1040</v>
      </c>
      <c r="P48" s="1888" t="s">
        <v>1531</v>
      </c>
      <c r="Q48" s="1889" t="e">
        <f ca="1">J60</f>
        <v>#DIV/0!</v>
      </c>
      <c r="R48" s="1889" t="s">
        <v>1532</v>
      </c>
    </row>
    <row r="49" spans="1:18" s="1845" customFormat="1" ht="13.5" thickBot="1">
      <c r="A49" s="1197" t="s">
        <v>1135</v>
      </c>
      <c r="B49" s="1832" t="s">
        <v>1489</v>
      </c>
      <c r="C49" s="1367">
        <f ca="1">ROUND(F49*F51*F50*(1-F52),0)</f>
        <v>0</v>
      </c>
      <c r="D49" s="1279" t="s">
        <v>1403</v>
      </c>
      <c r="E49" s="1833" t="s">
        <v>1490</v>
      </c>
      <c r="F49" s="1284"/>
      <c r="G49" s="1894"/>
      <c r="H49" s="793"/>
      <c r="I49" s="1890" t="s">
        <v>1533</v>
      </c>
      <c r="J49" s="1895"/>
      <c r="K49" s="1892" t="s">
        <v>1534</v>
      </c>
      <c r="L49" s="1896"/>
      <c r="O49" s="1897" t="s">
        <v>1041</v>
      </c>
      <c r="P49" s="1888" t="s">
        <v>1535</v>
      </c>
      <c r="Q49" s="1889">
        <f ca="1">C29</f>
        <v>0</v>
      </c>
      <c r="R49" s="1889" t="s">
        <v>1528</v>
      </c>
    </row>
    <row r="50" spans="1:18" s="1845" customFormat="1" ht="13.5" thickBot="1">
      <c r="A50" s="1198"/>
      <c r="B50" s="1201"/>
      <c r="C50" s="1202"/>
      <c r="D50" s="1175"/>
      <c r="E50" s="1280" t="s">
        <v>1405</v>
      </c>
      <c r="F50" s="1281">
        <f ca="1">F7</f>
        <v>0</v>
      </c>
      <c r="H50" s="793"/>
      <c r="I50" s="1890" t="s">
        <v>1536</v>
      </c>
      <c r="J50" s="1898">
        <f>SUMPRODUCT((I63:I65=J47)*(J62:L62=J48)*(J63:L65))</f>
        <v>0</v>
      </c>
      <c r="K50" s="1892" t="s">
        <v>1537</v>
      </c>
      <c r="L50" s="1896"/>
      <c r="M50" s="1899"/>
      <c r="O50" s="1897" t="s">
        <v>1042</v>
      </c>
      <c r="P50" s="1888" t="s">
        <v>1538</v>
      </c>
      <c r="Q50" s="1900" t="e">
        <f ca="1">J58</f>
        <v>#DIV/0!</v>
      </c>
      <c r="R50" s="1889"/>
    </row>
    <row r="51" spans="1:18" s="1845" customFormat="1" ht="13.5" thickBot="1">
      <c r="A51" s="1199"/>
      <c r="B51" s="1201"/>
      <c r="C51" s="1202"/>
      <c r="D51" s="1175"/>
      <c r="E51" s="1203" t="s">
        <v>1406</v>
      </c>
      <c r="F51" s="348">
        <f ca="1">F8</f>
        <v>0</v>
      </c>
      <c r="I51" s="1901" t="s">
        <v>1539</v>
      </c>
      <c r="J51" s="1902">
        <f>IF(J49="",J50,J49+J50-YEAR('数据-取费表'!B2))</f>
        <v>0</v>
      </c>
      <c r="K51" s="1903" t="s">
        <v>1540</v>
      </c>
      <c r="L51" s="1904">
        <f ca="1">ROUND(-PV(INDIRECT("'数据-取费表'!h"&amp;$G$1),L48,(C39-C13*C76),0),0)</f>
        <v>0</v>
      </c>
      <c r="M51" s="1905"/>
      <c r="O51" s="1897" t="s">
        <v>1043</v>
      </c>
      <c r="P51" s="1888" t="s">
        <v>1541</v>
      </c>
      <c r="Q51" s="1900">
        <f>J52</f>
        <v>0</v>
      </c>
      <c r="R51" s="1889"/>
    </row>
    <row r="52" spans="1:18" s="1845" customFormat="1" ht="13.5" thickBot="1">
      <c r="A52" s="1199"/>
      <c r="B52" s="1201"/>
      <c r="C52" s="1202"/>
      <c r="D52" s="1175"/>
      <c r="E52" s="1203" t="s">
        <v>1407</v>
      </c>
      <c r="F52" s="1278"/>
      <c r="I52" s="1906" t="s">
        <v>1542</v>
      </c>
      <c r="J52" s="1907"/>
      <c r="K52" s="1906" t="s">
        <v>1543</v>
      </c>
      <c r="L52" s="1907"/>
      <c r="O52" s="1897" t="s">
        <v>1044</v>
      </c>
      <c r="P52" s="1888" t="s">
        <v>1544</v>
      </c>
      <c r="Q52" s="1889" t="b">
        <f>J53</f>
        <v>0</v>
      </c>
      <c r="R52" s="1889" t="s">
        <v>1545</v>
      </c>
    </row>
    <row r="53" spans="1:18" s="1845" customFormat="1" ht="30.75" customHeight="1" thickBot="1">
      <c r="A53" s="1364" t="s">
        <v>1136</v>
      </c>
      <c r="B53" s="369" t="s">
        <v>1408</v>
      </c>
      <c r="C53" s="361">
        <f ca="1">ROUND(IF(F53="押一",C49/12*F11,IF(F53="押二",C49/12*2*F11,IF(F53="押三",C49/12*3*F11,C54*F11))),0)</f>
        <v>0</v>
      </c>
      <c r="D53" s="1827" t="s">
        <v>3018</v>
      </c>
      <c r="E53" s="358" t="s">
        <v>1409</v>
      </c>
      <c r="F53" s="1369"/>
      <c r="I53" s="1908" t="s">
        <v>1546</v>
      </c>
      <c r="J53" s="1909" t="b">
        <f>IF(M47="住宅",J51,IF(D1="——",MIN(J51,L48),IF(D1="在建（套用方法）",MIN(J51,L48-'数据-取费表'!B24),IF(D1="土地（套用方法）",MIN(J51,L48-'数据-取费表'!B20)))))</f>
        <v>0</v>
      </c>
      <c r="K53" s="3141" t="s">
        <v>1547</v>
      </c>
      <c r="L53" s="3142"/>
      <c r="O53" s="1887" t="s">
        <v>1045</v>
      </c>
      <c r="P53" s="1888" t="s">
        <v>1548</v>
      </c>
      <c r="Q53" s="1889" t="e">
        <f ca="1">Q47+Q48</f>
        <v>#DIV/0!</v>
      </c>
      <c r="R53" s="1889" t="s">
        <v>1046</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1549</v>
      </c>
      <c r="P54" s="1842"/>
      <c r="Q54" s="1842"/>
      <c r="R54" s="1842"/>
    </row>
    <row r="55" spans="1:18" s="1845" customFormat="1" ht="13.5" thickBot="1">
      <c r="A55" s="1336" t="s">
        <v>1074</v>
      </c>
      <c r="B55" s="1830" t="s">
        <v>1412</v>
      </c>
      <c r="C55" s="1337"/>
      <c r="D55" s="1827"/>
      <c r="E55" s="1835"/>
      <c r="F55" s="1910"/>
      <c r="I55" s="1913" t="s">
        <v>1550</v>
      </c>
      <c r="J55" s="1914" t="e">
        <f ca="1">ROUND(IF(J47="钢混",J57/J50,1-(1-2%)*(J50-J57)/J50),3)</f>
        <v>#DIV/0!</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0</v>
      </c>
      <c r="D56" s="1917"/>
      <c r="E56" s="1918"/>
      <c r="F56" s="1910"/>
      <c r="I56" s="1919" t="s">
        <v>1553</v>
      </c>
      <c r="J56" s="1920"/>
      <c r="K56" s="1890" t="s">
        <v>1554</v>
      </c>
      <c r="L56" s="1893">
        <f ca="1">IF(L48&lt;J51,"——",L48-J51)</f>
        <v>0</v>
      </c>
      <c r="O56" s="1887" t="s">
        <v>1039</v>
      </c>
      <c r="P56" s="1888" t="s">
        <v>1527</v>
      </c>
      <c r="Q56" s="1889" t="e">
        <f ca="1">C40+J29</f>
        <v>#DIV/0!</v>
      </c>
      <c r="R56" s="1889" t="s">
        <v>1528</v>
      </c>
    </row>
    <row r="57" spans="1:18" s="1845" customFormat="1" ht="24.75" thickBot="1">
      <c r="A57" s="1921"/>
      <c r="B57" s="1172" t="s">
        <v>1477</v>
      </c>
      <c r="C57" s="282">
        <f ca="1">C29</f>
        <v>0</v>
      </c>
      <c r="D57" s="1922"/>
      <c r="E57" s="1923"/>
      <c r="F57" s="1924"/>
      <c r="I57" s="1925" t="s">
        <v>1555</v>
      </c>
      <c r="J57" s="1926">
        <f ca="1">IF(OR(M47="住宅",J51&lt;L48,J56="是"),"——",J51-L48)</f>
        <v>0</v>
      </c>
      <c r="K57" s="1890" t="s">
        <v>1604</v>
      </c>
      <c r="L57" s="1893">
        <f ca="1">IF(L48&lt;J51,"——",IF(L55="比较法",L49,IF(L55="基准地价",L50,L51)))</f>
        <v>0</v>
      </c>
      <c r="O57" s="1887" t="s">
        <v>1040</v>
      </c>
      <c r="P57" s="1888" t="s">
        <v>1605</v>
      </c>
      <c r="Q57" s="1889" t="e">
        <f ca="1">L60</f>
        <v>#DIV/0!</v>
      </c>
      <c r="R57" s="1889" t="s">
        <v>1606</v>
      </c>
    </row>
    <row r="58" spans="1:18" s="1845" customFormat="1" ht="24.75" thickBot="1">
      <c r="A58" s="360" t="s">
        <v>1029</v>
      </c>
      <c r="B58" s="1180" t="s">
        <v>1423</v>
      </c>
      <c r="C58" s="361">
        <f ca="1">ROUND(C59+C64+C65+C66,0)</f>
        <v>0</v>
      </c>
      <c r="D58" s="1182" t="s">
        <v>1424</v>
      </c>
      <c r="E58" s="1183"/>
      <c r="F58" s="1184"/>
      <c r="I58" s="1925" t="s">
        <v>1559</v>
      </c>
      <c r="J58" s="1927" t="e">
        <f ca="1">IF(J55&lt;0.4,0.4,J55)</f>
        <v>#DIV/0!</v>
      </c>
      <c r="K58" s="1903" t="s">
        <v>1607</v>
      </c>
      <c r="L58" s="1893" t="e">
        <f ca="1">ROUND(POWER(1+L52,L47-L48)*(POWER(1+L52,L48)-1)/(POWER(1+L52,L47)-1),4)</f>
        <v>#DIV/0!</v>
      </c>
      <c r="O58" s="1897" t="s">
        <v>1041</v>
      </c>
      <c r="P58" s="1888" t="s">
        <v>1561</v>
      </c>
      <c r="Q58" s="1889">
        <f>IF(L55="比较法",L49,IF(L55="基准地价",L50,0))</f>
        <v>0</v>
      </c>
      <c r="R58" s="1889" t="s">
        <v>1528</v>
      </c>
    </row>
    <row r="59" spans="1:18" s="1845" customFormat="1" ht="24.75" thickBot="1">
      <c r="A59" s="1204" t="s">
        <v>1034</v>
      </c>
      <c r="B59" s="1172" t="s">
        <v>1428</v>
      </c>
      <c r="C59" s="24">
        <f ca="1">ROUND(IF(项目基本情况!B11="自然人",C48*F59,C60+C61+C62),0)</f>
        <v>0</v>
      </c>
      <c r="D59" s="1185" t="s">
        <v>1429</v>
      </c>
      <c r="E59" s="1186" t="s">
        <v>1430</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1042</v>
      </c>
      <c r="P59" s="1888" t="s">
        <v>1563</v>
      </c>
      <c r="Q59" s="1900">
        <f>L52</f>
        <v>0</v>
      </c>
      <c r="R59" s="1889"/>
    </row>
    <row r="60" spans="1:18" s="1845" customFormat="1" ht="16.5" thickBot="1">
      <c r="A60" s="1204" t="s">
        <v>1033</v>
      </c>
      <c r="B60" s="1172" t="s">
        <v>1432</v>
      </c>
      <c r="C60" s="24">
        <f ca="1">IF(项目基本情况!B11="自然人","——",ROUND(C48*F60/(1+'数据-取费表'!C42),0))</f>
        <v>0</v>
      </c>
      <c r="D60" s="1186" t="s">
        <v>1433</v>
      </c>
      <c r="E60" s="1172" t="s">
        <v>1421</v>
      </c>
      <c r="F60" s="377">
        <f t="shared" ref="F60:F66" si="0">F32</f>
        <v>5.5000000000000007E-2</v>
      </c>
      <c r="I60" s="1928" t="s">
        <v>1564</v>
      </c>
      <c r="J60" s="1929" t="e">
        <f ca="1">IF(OR(M47="住宅",J51&lt;L48,J56="是"),"0",ROUND(J59/(1+J52)^J53,0))</f>
        <v>#DIV/0!</v>
      </c>
      <c r="K60" s="1930" t="s">
        <v>1565</v>
      </c>
      <c r="L60" s="1929" t="e">
        <f ca="1">IF(OR(M47="住宅",L48&lt;J51),0,ROUND(L57*(L58/L59-1),0))</f>
        <v>#DIV/0!</v>
      </c>
      <c r="O60" s="1897" t="s">
        <v>1043</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IF(项目基本情况!B11="自然人","——",IF(D61="按租金收入计税",ROUND(C48*F61,0),IF(D61="按房产原值计税",ROUND(C57*F61*0.7,0),INDIRECT("'数据-取费表'!Aj"&amp;$G$1))))</f>
        <v>0</v>
      </c>
      <c r="D61" s="1831" t="s">
        <v>1437</v>
      </c>
      <c r="E61" s="1172" t="s">
        <v>1493</v>
      </c>
      <c r="F61" s="367">
        <f t="shared" si="0"/>
        <v>1.2E-2</v>
      </c>
      <c r="I61" s="1931"/>
      <c r="J61" s="1931"/>
      <c r="K61" s="1931"/>
      <c r="L61" s="1931"/>
      <c r="O61" s="1897" t="s">
        <v>1044</v>
      </c>
      <c r="P61" s="1888" t="str">
        <f>K59</f>
        <v>建设期及建筑物耐用年限下的土地年期修正系数Kn</v>
      </c>
      <c r="Q61" s="1889" t="e">
        <f ca="1">L59</f>
        <v>#DIV/0!</v>
      </c>
      <c r="R61" s="1889" t="s">
        <v>1568</v>
      </c>
    </row>
    <row r="62" spans="1:18" s="1845" customFormat="1" ht="13.5" thickBot="1">
      <c r="A62" s="1204" t="s">
        <v>1494</v>
      </c>
      <c r="B62" s="1171" t="s">
        <v>1495</v>
      </c>
      <c r="C62" s="25">
        <f ca="1">IF(项目基本情况!B11="自然人","——",ROUND(F62*F63,0))</f>
        <v>0</v>
      </c>
      <c r="D62" s="1187" t="s">
        <v>1496</v>
      </c>
      <c r="E62" s="1172" t="s">
        <v>1497</v>
      </c>
      <c r="F62" s="371">
        <f t="shared" si="0"/>
        <v>1.5</v>
      </c>
      <c r="I62" s="1932" t="s">
        <v>1569</v>
      </c>
      <c r="J62" s="1933" t="s">
        <v>1570</v>
      </c>
      <c r="K62" s="1933" t="s">
        <v>1571</v>
      </c>
      <c r="L62" s="1933" t="s">
        <v>1572</v>
      </c>
      <c r="M62" s="1934" t="s">
        <v>1573</v>
      </c>
      <c r="O62" s="1887" t="s">
        <v>1045</v>
      </c>
      <c r="P62" s="1888" t="s">
        <v>1574</v>
      </c>
      <c r="Q62" s="1889" t="e">
        <f ca="1">Q56+Q57</f>
        <v>#DIV/0!</v>
      </c>
      <c r="R62" s="1889" t="s">
        <v>1046</v>
      </c>
    </row>
    <row r="63" spans="1:18" s="1845" customFormat="1" ht="13.5"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ROUND(C57*F64,0)</f>
        <v>0</v>
      </c>
      <c r="D64" s="1186" t="s">
        <v>1501</v>
      </c>
      <c r="E64" s="1172" t="s">
        <v>1493</v>
      </c>
      <c r="F64" s="374">
        <f t="shared" ca="1" si="0"/>
        <v>0</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ROUND(C56*F65,0)</f>
        <v>0</v>
      </c>
      <c r="D65" s="1186" t="s">
        <v>1453</v>
      </c>
      <c r="E65" s="1172" t="s">
        <v>1454</v>
      </c>
      <c r="F65" s="376">
        <f t="shared" ca="1" si="0"/>
        <v>0</v>
      </c>
      <c r="I65" s="1932" t="s">
        <v>1578</v>
      </c>
      <c r="J65" s="1933">
        <v>40</v>
      </c>
      <c r="K65" s="1933">
        <v>30</v>
      </c>
      <c r="L65" s="1933">
        <v>50</v>
      </c>
      <c r="M65" s="1935">
        <v>0.02</v>
      </c>
      <c r="O65" s="1887" t="s">
        <v>1039</v>
      </c>
      <c r="P65" s="1888" t="s">
        <v>1579</v>
      </c>
      <c r="Q65" s="1889" t="e">
        <f ca="1">C40+J29</f>
        <v>#DIV/0!</v>
      </c>
      <c r="R65" s="1889" t="s">
        <v>1528</v>
      </c>
    </row>
    <row r="66" spans="1:18" s="1845" customFormat="1" ht="16.5" thickBot="1">
      <c r="A66" s="1204" t="s">
        <v>1503</v>
      </c>
      <c r="B66" s="1172" t="s">
        <v>1438</v>
      </c>
      <c r="C66" s="24">
        <f ca="1">ROUND(C48*F66,0)</f>
        <v>0</v>
      </c>
      <c r="D66" s="1186" t="s">
        <v>1504</v>
      </c>
      <c r="E66" s="1172" t="s">
        <v>1421</v>
      </c>
      <c r="F66" s="357">
        <f t="shared" ca="1" si="0"/>
        <v>0</v>
      </c>
      <c r="O66" s="1887" t="s">
        <v>1040</v>
      </c>
      <c r="P66" s="1888" t="s">
        <v>1557</v>
      </c>
      <c r="Q66" s="1889" t="e">
        <f ca="1">L60</f>
        <v>#DIV/0!</v>
      </c>
      <c r="R66" s="1889" t="s">
        <v>1580</v>
      </c>
    </row>
    <row r="67" spans="1:18" s="1845" customFormat="1" ht="16.5" thickBot="1">
      <c r="A67" s="1179" t="s">
        <v>1030</v>
      </c>
      <c r="B67" s="1189" t="s">
        <v>1462</v>
      </c>
      <c r="C67" s="361">
        <f ca="1">C48-C58</f>
        <v>0</v>
      </c>
      <c r="D67" s="1185" t="s">
        <v>1463</v>
      </c>
      <c r="E67" s="1190"/>
      <c r="F67" s="1191"/>
      <c r="O67" s="1897" t="s">
        <v>1041</v>
      </c>
      <c r="P67" s="1888" t="s">
        <v>1561</v>
      </c>
      <c r="Q67" s="1936">
        <f ca="1">L51</f>
        <v>0</v>
      </c>
      <c r="R67" s="1889" t="s">
        <v>1581</v>
      </c>
    </row>
    <row r="68" spans="1:18" s="1845" customFormat="1" ht="16.5" thickBot="1">
      <c r="A68" s="1169" t="s">
        <v>1031</v>
      </c>
      <c r="B68" s="1170" t="s">
        <v>1484</v>
      </c>
      <c r="C68" s="346" t="e">
        <f ca="1">ROUND(C67*(1-((1+F70)/(1+F68))^F69)/(F68-F70),0)</f>
        <v>#DIV/0!</v>
      </c>
      <c r="D68" s="1187" t="s">
        <v>1468</v>
      </c>
      <c r="E68" s="1172" t="s">
        <v>1469</v>
      </c>
      <c r="F68" s="357">
        <f ca="1">F40</f>
        <v>0</v>
      </c>
      <c r="O68" s="1897" t="s">
        <v>1042</v>
      </c>
      <c r="P68" s="1937" t="s">
        <v>1582</v>
      </c>
      <c r="Q68" s="1889">
        <f ca="1">ROUND(Q69-Q70*Q71,0)</f>
        <v>0</v>
      </c>
      <c r="R68" s="1889" t="s">
        <v>1050</v>
      </c>
    </row>
    <row r="69" spans="1:18" s="1845" customFormat="1" ht="13.5" thickBot="1">
      <c r="A69" s="1173"/>
      <c r="B69" s="1174"/>
      <c r="C69" s="351"/>
      <c r="D69" s="1192" t="s">
        <v>1472</v>
      </c>
      <c r="E69" s="1172" t="s">
        <v>1473</v>
      </c>
      <c r="F69" s="379">
        <f ca="1">F41</f>
        <v>0</v>
      </c>
      <c r="O69" s="1897" t="s">
        <v>1047</v>
      </c>
      <c r="P69" s="1937" t="s">
        <v>1583</v>
      </c>
      <c r="Q69" s="1889">
        <f ca="1">C39</f>
        <v>0</v>
      </c>
      <c r="R69" s="1889" t="s">
        <v>1528</v>
      </c>
    </row>
    <row r="70" spans="1:18" s="1845" customFormat="1" ht="13.5" thickBot="1">
      <c r="A70" s="1176"/>
      <c r="B70" s="1177"/>
      <c r="C70" s="355"/>
      <c r="D70" s="1188"/>
      <c r="E70" s="1172" t="s">
        <v>1476</v>
      </c>
      <c r="F70" s="1278">
        <f ca="1">F42</f>
        <v>0</v>
      </c>
      <c r="O70" s="1897" t="s">
        <v>1048</v>
      </c>
      <c r="P70" s="1937" t="s">
        <v>1584</v>
      </c>
      <c r="Q70" s="1889">
        <f ca="1">C13</f>
        <v>0</v>
      </c>
      <c r="R70" s="1889" t="s">
        <v>1528</v>
      </c>
    </row>
    <row r="71" spans="1:18" s="1845" customFormat="1" ht="13.5" thickBot="1">
      <c r="A71" s="1193" t="s">
        <v>1032</v>
      </c>
      <c r="B71" s="1194" t="s">
        <v>1486</v>
      </c>
      <c r="C71" s="382" t="e">
        <f ca="1">ROUND(C68/F71,0)</f>
        <v>#DIV/0!</v>
      </c>
      <c r="D71" s="1195" t="s">
        <v>1487</v>
      </c>
      <c r="E71" s="1196" t="s">
        <v>1488</v>
      </c>
      <c r="F71" s="385">
        <f ca="1">F43</f>
        <v>0</v>
      </c>
      <c r="O71" s="1897" t="s">
        <v>1049</v>
      </c>
      <c r="P71" s="1937" t="s">
        <v>1585</v>
      </c>
      <c r="Q71" s="1900">
        <f ca="1">C76</f>
        <v>0</v>
      </c>
      <c r="R71" s="1889"/>
    </row>
    <row r="72" spans="1:18" s="1845" customFormat="1" ht="13.5" thickBot="1">
      <c r="B72" s="796"/>
      <c r="C72" s="796"/>
      <c r="O72" s="1897" t="s">
        <v>1043</v>
      </c>
      <c r="P72" s="1888" t="s">
        <v>1563</v>
      </c>
      <c r="Q72" s="1900">
        <f>L52</f>
        <v>0</v>
      </c>
      <c r="R72" s="1889"/>
    </row>
    <row r="73" spans="1:18" ht="16.5" thickBot="1">
      <c r="A73" s="1845"/>
      <c r="B73" s="796"/>
      <c r="C73" s="796"/>
      <c r="D73" s="1845"/>
      <c r="E73" s="1845"/>
      <c r="F73" s="1845"/>
      <c r="O73" s="1897" t="s">
        <v>1044</v>
      </c>
      <c r="P73" s="1888" t="s">
        <v>1566</v>
      </c>
      <c r="Q73" s="1889" t="e">
        <f ca="1">L58</f>
        <v>#DIV/0!</v>
      </c>
      <c r="R73" s="1889" t="s">
        <v>1567</v>
      </c>
    </row>
    <row r="74" spans="1:18" ht="13.5" thickBot="1">
      <c r="A74" s="1845"/>
      <c r="B74" s="317" t="s">
        <v>1586</v>
      </c>
      <c r="C74" s="1939"/>
      <c r="D74" s="1845"/>
      <c r="E74" s="1845"/>
      <c r="F74" s="1845"/>
      <c r="O74" s="1897" t="s">
        <v>1051</v>
      </c>
      <c r="P74" s="1888" t="str">
        <f>K59</f>
        <v>建设期及建筑物耐用年限下的土地年期修正系数Kn</v>
      </c>
      <c r="Q74" s="1889" t="e">
        <f ca="1">L59</f>
        <v>#DIV/0!</v>
      </c>
      <c r="R74" s="1889" t="s">
        <v>1568</v>
      </c>
    </row>
    <row r="75" spans="1:18" ht="13.5" thickBot="1">
      <c r="A75" s="1845"/>
      <c r="B75" s="386" t="s">
        <v>1505</v>
      </c>
      <c r="C75" s="387">
        <f ca="1">ROUND(C13*C76,0)</f>
        <v>0</v>
      </c>
      <c r="D75" s="1845"/>
      <c r="E75" s="1845"/>
      <c r="F75" s="1845"/>
      <c r="K75" s="1871"/>
      <c r="L75" s="1845"/>
      <c r="O75" s="1887" t="s">
        <v>1045</v>
      </c>
      <c r="P75" s="1888" t="s">
        <v>1548</v>
      </c>
      <c r="Q75" s="1889" t="e">
        <f ca="1">Q65+Q66</f>
        <v>#DIV/0!</v>
      </c>
      <c r="R75" s="1889" t="s">
        <v>1046</v>
      </c>
    </row>
    <row r="76" spans="1:18">
      <c r="B76" s="388" t="s">
        <v>1506</v>
      </c>
      <c r="C76" s="389">
        <f ca="1">INDIRECT("'数据-取费表'!j"&amp;$G$1)</f>
        <v>0</v>
      </c>
      <c r="I76" s="1845"/>
      <c r="J76" s="1845"/>
      <c r="K76" s="1871"/>
      <c r="L76" s="1845"/>
    </row>
    <row r="77" spans="1:18">
      <c r="B77" s="390" t="s">
        <v>1507</v>
      </c>
      <c r="C77" s="391"/>
      <c r="I77" s="1845"/>
      <c r="J77" s="1845"/>
      <c r="K77" s="1871"/>
      <c r="L77" s="1845"/>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2503</v>
      </c>
      <c r="B1" s="2566"/>
      <c r="C1" s="2566"/>
      <c r="D1" s="2566"/>
      <c r="E1" s="2567"/>
    </row>
    <row r="2" spans="1:6" ht="15.75">
      <c r="A2" s="2568" t="s">
        <v>2304</v>
      </c>
      <c r="B2" s="2569">
        <f ca="1">SUMIF(B6:B13,"&lt;&gt;#ref!",B6:B13)</f>
        <v>11110</v>
      </c>
      <c r="C2" s="2570" t="s">
        <v>2496</v>
      </c>
      <c r="D2" s="2571" t="s">
        <v>2497</v>
      </c>
      <c r="E2" s="2572">
        <f>SUM(E6:E13)</f>
        <v>16346.349999999999</v>
      </c>
    </row>
    <row r="3" spans="1:6" ht="15.75">
      <c r="A3" s="2568" t="s">
        <v>1394</v>
      </c>
      <c r="B3" s="2569">
        <f ca="1">ROUND(B2*10000/E2,0)</f>
        <v>6797</v>
      </c>
      <c r="C3" s="2570" t="s">
        <v>2504</v>
      </c>
      <c r="D3" s="2573"/>
      <c r="E3" s="2574"/>
    </row>
    <row r="4" spans="1:6" ht="15.75">
      <c r="A4" s="2575"/>
      <c r="B4" s="2573"/>
      <c r="C4" s="2573"/>
      <c r="D4" s="2573"/>
      <c r="E4" s="2574"/>
    </row>
    <row r="5" spans="1:6" ht="15">
      <c r="A5" s="2576" t="s">
        <v>2498</v>
      </c>
      <c r="B5" s="3146" t="s">
        <v>2499</v>
      </c>
      <c r="C5" s="3146"/>
      <c r="D5" s="2577"/>
      <c r="E5" s="2578" t="s">
        <v>2500</v>
      </c>
      <c r="F5" s="2579" t="s">
        <v>2501</v>
      </c>
    </row>
    <row r="6" spans="1:6">
      <c r="A6" s="2580" t="str">
        <f>'数据-取费表'!AN6</f>
        <v>收益法</v>
      </c>
      <c r="B6" s="2579">
        <f ca="1">IF(F6="是",'数据-取费表'!AO6,0)</f>
        <v>11110</v>
      </c>
      <c r="C6" s="2570" t="s">
        <v>2496</v>
      </c>
      <c r="D6" s="2573"/>
      <c r="E6" s="2581">
        <f>IF(OR(A6=0,F6="否"),0,'数据-取费表'!K6+'数据-取费表'!S6)</f>
        <v>16346.349999999999</v>
      </c>
      <c r="F6" s="2582" t="s">
        <v>2502</v>
      </c>
    </row>
    <row r="7" spans="1:6">
      <c r="A7" s="2580">
        <f>'数据-取费表'!AN7</f>
        <v>0</v>
      </c>
      <c r="B7" s="2579" t="e">
        <f ca="1">IF(F7="是",'数据-取费表'!AO7,0)</f>
        <v>#REF!</v>
      </c>
      <c r="C7" s="2570" t="s">
        <v>2496</v>
      </c>
      <c r="D7" s="2573"/>
      <c r="E7" s="2581">
        <f>IF(OR(A7=0,F7="否"),0,'数据-取费表'!K7+'数据-取费表'!S7)</f>
        <v>0</v>
      </c>
      <c r="F7" s="2582" t="s">
        <v>2502</v>
      </c>
    </row>
    <row r="8" spans="1:6">
      <c r="A8" s="2580">
        <f>'数据-取费表'!AN8</f>
        <v>0</v>
      </c>
      <c r="B8" s="2579" t="e">
        <f ca="1">IF(F8="是",'数据-取费表'!AO8,0)</f>
        <v>#REF!</v>
      </c>
      <c r="C8" s="2570" t="s">
        <v>2496</v>
      </c>
      <c r="D8" s="2573"/>
      <c r="E8" s="2581">
        <f>IF(OR(A8=0,F8="否"),0,'数据-取费表'!K8+'数据-取费表'!S8)</f>
        <v>0</v>
      </c>
      <c r="F8" s="2582" t="s">
        <v>2502</v>
      </c>
    </row>
    <row r="9" spans="1:6">
      <c r="A9" s="2580">
        <f>'数据-取费表'!AN9</f>
        <v>0</v>
      </c>
      <c r="B9" s="2579" t="e">
        <f ca="1">IF(F9="是",'数据-取费表'!AO9,0)</f>
        <v>#REF!</v>
      </c>
      <c r="C9" s="2570" t="s">
        <v>2496</v>
      </c>
      <c r="D9" s="2573"/>
      <c r="E9" s="2581">
        <f>IF(OR(A9=0,F9="否"),0,'数据-取费表'!K9+'数据-取费表'!S9)</f>
        <v>0</v>
      </c>
      <c r="F9" s="2582" t="s">
        <v>2502</v>
      </c>
    </row>
    <row r="10" spans="1:6">
      <c r="A10" s="2580">
        <f>'数据-取费表'!AN10</f>
        <v>0</v>
      </c>
      <c r="B10" s="2579" t="e">
        <f ca="1">IF(F10="是",'数据-取费表'!AO10,0)</f>
        <v>#REF!</v>
      </c>
      <c r="C10" s="2570" t="s">
        <v>2496</v>
      </c>
      <c r="D10" s="2573"/>
      <c r="E10" s="2581">
        <f>IF(OR(A10=0,F10="否"),0,'数据-取费表'!K10+'数据-取费表'!S10)</f>
        <v>0</v>
      </c>
      <c r="F10" s="2582" t="s">
        <v>2502</v>
      </c>
    </row>
    <row r="11" spans="1:6">
      <c r="A11" s="2580">
        <f>'数据-取费表'!AN11</f>
        <v>0</v>
      </c>
      <c r="B11" s="2579" t="e">
        <f ca="1">IF(F11="是",'数据-取费表'!AO11,0)</f>
        <v>#REF!</v>
      </c>
      <c r="C11" s="2570" t="s">
        <v>2496</v>
      </c>
      <c r="D11" s="2573"/>
      <c r="E11" s="2581">
        <f>IF(OR(A11=0,F11="否"),0,'数据-取费表'!K11+'数据-取费表'!S11)</f>
        <v>0</v>
      </c>
      <c r="F11" s="2582" t="s">
        <v>2502</v>
      </c>
    </row>
    <row r="12" spans="1:6">
      <c r="A12" s="2580">
        <f>'数据-取费表'!AN12</f>
        <v>0</v>
      </c>
      <c r="B12" s="2579" t="e">
        <f ca="1">IF(F12="是",'数据-取费表'!AO12,0)</f>
        <v>#REF!</v>
      </c>
      <c r="C12" s="2570" t="s">
        <v>2496</v>
      </c>
      <c r="D12" s="2573"/>
      <c r="E12" s="2581">
        <f>IF(OR(A12=0,F12="否"),0,'数据-取费表'!K12+'数据-取费表'!S12)</f>
        <v>0</v>
      </c>
      <c r="F12" s="2582" t="s">
        <v>2502</v>
      </c>
    </row>
    <row r="13" spans="1:6" ht="15" thickBot="1">
      <c r="A13" s="2583">
        <f>'数据-取费表'!AN13</f>
        <v>0</v>
      </c>
      <c r="B13" s="2579" t="e">
        <f ca="1">IF(F13="是",'数据-取费表'!AO13,0)</f>
        <v>#REF!</v>
      </c>
      <c r="C13" s="2584" t="s">
        <v>2496</v>
      </c>
      <c r="D13" s="2585"/>
      <c r="E13" s="2581">
        <f>IF(OR(A13=0,F13="否"),0,'数据-取费表'!K13+'数据-取费表'!S13)</f>
        <v>0</v>
      </c>
      <c r="F13" s="2582" t="s">
        <v>2502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63" t="s">
        <v>1075</v>
      </c>
      <c r="B1" s="3164"/>
      <c r="C1" s="3165"/>
      <c r="D1" s="3166">
        <f>SUM(I10,I15,I20,I21,I23)</f>
        <v>0</v>
      </c>
      <c r="E1" s="3166"/>
      <c r="F1" s="3166"/>
      <c r="G1" s="3166"/>
      <c r="H1" s="3166"/>
      <c r="I1" s="3167"/>
    </row>
    <row r="2" spans="1:9">
      <c r="A2" s="3153" t="s">
        <v>1076</v>
      </c>
      <c r="B2" s="3154" t="s">
        <v>1077</v>
      </c>
      <c r="C2" s="3154"/>
      <c r="D2" s="1304" t="s">
        <v>1078</v>
      </c>
      <c r="E2" s="1304" t="s">
        <v>1079</v>
      </c>
      <c r="F2" s="1304" t="s">
        <v>1080</v>
      </c>
      <c r="G2" s="1304" t="s">
        <v>1081</v>
      </c>
      <c r="H2" s="1304" t="s">
        <v>1082</v>
      </c>
      <c r="I2" s="1305" t="s">
        <v>1083</v>
      </c>
    </row>
    <row r="3" spans="1:9">
      <c r="A3" s="3153"/>
      <c r="B3" s="3154" t="s">
        <v>1084</v>
      </c>
      <c r="C3" s="3154"/>
      <c r="D3" s="1306"/>
      <c r="E3" s="1304"/>
      <c r="F3" s="1307"/>
      <c r="G3" s="1307"/>
      <c r="H3" s="1308"/>
      <c r="I3" s="1309">
        <f>ROUND(D3*E3*F3*G3*H3/10000,0)</f>
        <v>0</v>
      </c>
    </row>
    <row r="4" spans="1:9">
      <c r="A4" s="3153"/>
      <c r="B4" s="3154" t="s">
        <v>1085</v>
      </c>
      <c r="C4" s="3154"/>
      <c r="D4" s="1306"/>
      <c r="E4" s="1304"/>
      <c r="F4" s="1307"/>
      <c r="G4" s="1307"/>
      <c r="H4" s="1308"/>
      <c r="I4" s="1309">
        <f t="shared" ref="I4:I9" si="0">ROUND(D4*E4*F4*G4*H4/10000,0)</f>
        <v>0</v>
      </c>
    </row>
    <row r="5" spans="1:9">
      <c r="A5" s="3153"/>
      <c r="B5" s="3154" t="s">
        <v>1086</v>
      </c>
      <c r="C5" s="3154"/>
      <c r="D5" s="1306"/>
      <c r="E5" s="1304"/>
      <c r="F5" s="1307"/>
      <c r="G5" s="1307"/>
      <c r="H5" s="1308"/>
      <c r="I5" s="1309">
        <f t="shared" si="0"/>
        <v>0</v>
      </c>
    </row>
    <row r="6" spans="1:9">
      <c r="A6" s="3153"/>
      <c r="B6" s="3154" t="s">
        <v>1087</v>
      </c>
      <c r="C6" s="3154"/>
      <c r="D6" s="1306"/>
      <c r="E6" s="1304"/>
      <c r="F6" s="1307"/>
      <c r="G6" s="1307"/>
      <c r="H6" s="1308"/>
      <c r="I6" s="1309">
        <f t="shared" si="0"/>
        <v>0</v>
      </c>
    </row>
    <row r="7" spans="1:9">
      <c r="A7" s="3153"/>
      <c r="B7" s="3154" t="s">
        <v>1088</v>
      </c>
      <c r="C7" s="3154"/>
      <c r="D7" s="1306"/>
      <c r="E7" s="1304"/>
      <c r="F7" s="1307"/>
      <c r="G7" s="1307"/>
      <c r="H7" s="1308"/>
      <c r="I7" s="1309">
        <f t="shared" si="0"/>
        <v>0</v>
      </c>
    </row>
    <row r="8" spans="1:9">
      <c r="A8" s="3153"/>
      <c r="B8" s="3154" t="s">
        <v>1089</v>
      </c>
      <c r="C8" s="3154"/>
      <c r="D8" s="1306"/>
      <c r="E8" s="1304"/>
      <c r="F8" s="1307"/>
      <c r="G8" s="1307"/>
      <c r="H8" s="1308"/>
      <c r="I8" s="1309">
        <f t="shared" si="0"/>
        <v>0</v>
      </c>
    </row>
    <row r="9" spans="1:9">
      <c r="A9" s="3153"/>
      <c r="B9" s="3154" t="s">
        <v>1090</v>
      </c>
      <c r="C9" s="3154"/>
      <c r="D9" s="1306"/>
      <c r="E9" s="1304"/>
      <c r="F9" s="1307"/>
      <c r="G9" s="1307"/>
      <c r="H9" s="1308"/>
      <c r="I9" s="1309">
        <f t="shared" si="0"/>
        <v>0</v>
      </c>
    </row>
    <row r="10" spans="1:9">
      <c r="A10" s="3153"/>
      <c r="B10" s="3155" t="s">
        <v>1091</v>
      </c>
      <c r="C10" s="3155"/>
      <c r="D10" s="1310"/>
      <c r="E10" s="1310" t="e">
        <f>ROUND(D1*10000/D10/H9,0)</f>
        <v>#DIV/0!</v>
      </c>
      <c r="F10" s="1311"/>
      <c r="G10" s="1311"/>
      <c r="H10" s="1312"/>
      <c r="I10" s="1313">
        <f>SUM(I3:I9)</f>
        <v>0</v>
      </c>
    </row>
    <row r="11" spans="1:9" ht="14.25">
      <c r="A11" s="3153" t="s">
        <v>1092</v>
      </c>
      <c r="B11" s="3154" t="s">
        <v>1093</v>
      </c>
      <c r="C11" s="3154"/>
      <c r="D11" s="1306" t="s">
        <v>1094</v>
      </c>
      <c r="E11" s="1306" t="s">
        <v>1095</v>
      </c>
      <c r="F11" s="1307" t="s">
        <v>1096</v>
      </c>
      <c r="G11" s="1307" t="s">
        <v>1082</v>
      </c>
      <c r="H11" s="1314" t="s">
        <v>1097</v>
      </c>
      <c r="I11" s="1305" t="s">
        <v>1083</v>
      </c>
    </row>
    <row r="12" spans="1:9">
      <c r="A12" s="3153"/>
      <c r="B12" s="3154" t="s">
        <v>1098</v>
      </c>
      <c r="C12" s="3154"/>
      <c r="D12" s="1306"/>
      <c r="E12" s="1306"/>
      <c r="F12" s="1307"/>
      <c r="G12" s="1308"/>
      <c r="H12" s="1315"/>
      <c r="I12" s="1305">
        <f>ROUND(D12*E12*F12*G12/10000,0)</f>
        <v>0</v>
      </c>
    </row>
    <row r="13" spans="1:9">
      <c r="A13" s="3153"/>
      <c r="B13" s="3154" t="s">
        <v>1099</v>
      </c>
      <c r="C13" s="3154"/>
      <c r="D13" s="1306"/>
      <c r="E13" s="1306"/>
      <c r="F13" s="1307"/>
      <c r="G13" s="1308"/>
      <c r="H13" s="1315"/>
      <c r="I13" s="1305">
        <f>ROUND(D13*E13*F13*G13/10000,0)</f>
        <v>0</v>
      </c>
    </row>
    <row r="14" spans="1:9">
      <c r="A14" s="3153"/>
      <c r="B14" s="3154" t="s">
        <v>1100</v>
      </c>
      <c r="C14" s="3154"/>
      <c r="D14" s="1306"/>
      <c r="E14" s="1306"/>
      <c r="F14" s="1307"/>
      <c r="G14" s="1308"/>
      <c r="H14" s="1315"/>
      <c r="I14" s="1305">
        <f>ROUND(D14*E14*F14*G14/10000,0)</f>
        <v>0</v>
      </c>
    </row>
    <row r="15" spans="1:9">
      <c r="A15" s="3153"/>
      <c r="B15" s="3155" t="s">
        <v>1091</v>
      </c>
      <c r="C15" s="3155"/>
      <c r="D15" s="1310"/>
      <c r="E15" s="1310">
        <f>SUM(E12:E14)</f>
        <v>0</v>
      </c>
      <c r="F15" s="1311"/>
      <c r="G15" s="1308"/>
      <c r="H15" s="1315"/>
      <c r="I15" s="1316">
        <f>SUM(I12:I14)</f>
        <v>0</v>
      </c>
    </row>
    <row r="16" spans="1:9" ht="24">
      <c r="A16" s="3153" t="s">
        <v>1101</v>
      </c>
      <c r="B16" s="3154" t="s">
        <v>1102</v>
      </c>
      <c r="C16" s="3154"/>
      <c r="D16" s="1306" t="s">
        <v>1078</v>
      </c>
      <c r="E16" s="1317" t="s">
        <v>1103</v>
      </c>
      <c r="F16" s="1307" t="s">
        <v>1104</v>
      </c>
      <c r="G16" s="1308" t="s">
        <v>1082</v>
      </c>
      <c r="H16" s="1314" t="s">
        <v>1097</v>
      </c>
      <c r="I16" s="1305" t="s">
        <v>1083</v>
      </c>
    </row>
    <row r="17" spans="1:9" ht="14.25">
      <c r="A17" s="3153"/>
      <c r="B17" s="3154" t="s">
        <v>1105</v>
      </c>
      <c r="C17" s="3154"/>
      <c r="D17" s="1306"/>
      <c r="E17" s="1306"/>
      <c r="F17" s="1307"/>
      <c r="G17" s="1308"/>
      <c r="H17" s="1318"/>
      <c r="I17" s="1319">
        <f>ROUND(D17*E17*F17*G17/10000,0)</f>
        <v>0</v>
      </c>
    </row>
    <row r="18" spans="1:9" ht="14.25">
      <c r="A18" s="3153"/>
      <c r="B18" s="3154" t="s">
        <v>1106</v>
      </c>
      <c r="C18" s="3154"/>
      <c r="D18" s="1306"/>
      <c r="E18" s="1306"/>
      <c r="F18" s="1307"/>
      <c r="G18" s="1308"/>
      <c r="H18" s="1318"/>
      <c r="I18" s="1319">
        <f>ROUND(D18*E18*F18*G18/10000,0)</f>
        <v>0</v>
      </c>
    </row>
    <row r="19" spans="1:9" ht="14.25">
      <c r="A19" s="3153"/>
      <c r="B19" s="3154" t="s">
        <v>1107</v>
      </c>
      <c r="C19" s="3154"/>
      <c r="D19" s="1306"/>
      <c r="E19" s="1306"/>
      <c r="F19" s="1307"/>
      <c r="G19" s="1308"/>
      <c r="H19" s="1318"/>
      <c r="I19" s="1319">
        <f>ROUND(D19*E19*F19*G19/10000,0)</f>
        <v>0</v>
      </c>
    </row>
    <row r="20" spans="1:9">
      <c r="A20" s="3153"/>
      <c r="B20" s="3155" t="s">
        <v>1091</v>
      </c>
      <c r="C20" s="3155"/>
      <c r="D20" s="1310">
        <f>SUM(D17:D19)</f>
        <v>0</v>
      </c>
      <c r="E20" s="1310"/>
      <c r="F20" s="1311"/>
      <c r="G20" s="1308"/>
      <c r="H20" s="1315"/>
      <c r="I20" s="1316">
        <f>SUM(I17:I19)</f>
        <v>0</v>
      </c>
    </row>
    <row r="21" spans="1:9">
      <c r="A21" s="3153" t="s">
        <v>1108</v>
      </c>
      <c r="B21" s="3156"/>
      <c r="C21" s="3156"/>
      <c r="D21" s="3156"/>
      <c r="E21" s="3156"/>
      <c r="F21" s="3156"/>
      <c r="G21" s="3156"/>
      <c r="H21" s="1768">
        <v>0.1</v>
      </c>
      <c r="I21" s="1313">
        <f>ROUND(I10*H21,0)</f>
        <v>0</v>
      </c>
    </row>
    <row r="22" spans="1:9" ht="14.25">
      <c r="A22" s="3157" t="s">
        <v>1109</v>
      </c>
      <c r="B22" s="3158"/>
      <c r="C22" s="3159"/>
      <c r="D22" s="1320" t="s">
        <v>1110</v>
      </c>
      <c r="E22" s="1320" t="s">
        <v>1111</v>
      </c>
      <c r="F22" s="1321" t="s">
        <v>1112</v>
      </c>
      <c r="G22" s="1321" t="s">
        <v>1113</v>
      </c>
      <c r="H22" s="1314" t="s">
        <v>1114</v>
      </c>
      <c r="I22" s="1305" t="s">
        <v>1115</v>
      </c>
    </row>
    <row r="23" spans="1:9" ht="14.25" thickBot="1">
      <c r="A23" s="3160"/>
      <c r="B23" s="3161"/>
      <c r="C23" s="3162"/>
      <c r="D23" s="1322"/>
      <c r="E23" s="1322"/>
      <c r="F23" s="1322"/>
      <c r="G23" s="1323"/>
      <c r="H23" s="1324"/>
      <c r="I23" s="1325">
        <f>ROUND(E23*D23*F23*(1-G23)/10000,0)</f>
        <v>0</v>
      </c>
    </row>
    <row r="26" spans="1:9">
      <c r="A26" s="1326" t="s">
        <v>1116</v>
      </c>
      <c r="B26" s="1326"/>
      <c r="C26" s="1326"/>
      <c r="D26" s="1326"/>
      <c r="E26" s="3150">
        <f>C27-C30-C31-C32</f>
        <v>0</v>
      </c>
      <c r="F26" s="3150"/>
      <c r="G26" s="3150"/>
      <c r="H26" s="1740" t="s">
        <v>1339</v>
      </c>
    </row>
    <row r="27" spans="1:9">
      <c r="A27" s="1327">
        <v>1</v>
      </c>
      <c r="B27" s="1328" t="s">
        <v>1117</v>
      </c>
      <c r="C27" s="1328">
        <f>C28+C29</f>
        <v>0</v>
      </c>
      <c r="D27" s="1328"/>
      <c r="E27" s="3151"/>
      <c r="F27" s="3151"/>
      <c r="G27" s="3151"/>
    </row>
    <row r="28" spans="1:9">
      <c r="A28" s="1329" t="s">
        <v>1118</v>
      </c>
      <c r="B28" s="1328" t="s">
        <v>1119</v>
      </c>
      <c r="C28" s="1328"/>
      <c r="D28" s="1328"/>
      <c r="E28" s="3151"/>
      <c r="F28" s="3151"/>
      <c r="G28" s="3151"/>
    </row>
    <row r="29" spans="1:9">
      <c r="A29" s="1329" t="s">
        <v>1120</v>
      </c>
      <c r="B29" s="1328" t="s">
        <v>1121</v>
      </c>
      <c r="C29" s="1328"/>
      <c r="D29" s="1328"/>
      <c r="E29" s="1328" t="s">
        <v>1122</v>
      </c>
      <c r="F29" s="1328"/>
      <c r="G29" s="1328"/>
    </row>
    <row r="30" spans="1:9">
      <c r="A30" s="1327">
        <v>2</v>
      </c>
      <c r="B30" s="1328" t="s">
        <v>1123</v>
      </c>
      <c r="C30" s="1328">
        <f>C27*D30</f>
        <v>0</v>
      </c>
      <c r="D30" s="1330">
        <v>0.2</v>
      </c>
      <c r="E30" s="1328" t="s">
        <v>1124</v>
      </c>
      <c r="F30" s="1328"/>
      <c r="G30" s="1328"/>
    </row>
    <row r="31" spans="1:9">
      <c r="A31" s="1327">
        <v>3</v>
      </c>
      <c r="B31" s="1328" t="s">
        <v>1125</v>
      </c>
      <c r="C31" s="1328">
        <f>C25*D31</f>
        <v>0</v>
      </c>
      <c r="D31" s="1330">
        <v>0.15</v>
      </c>
      <c r="E31" s="1328" t="s">
        <v>1126</v>
      </c>
      <c r="F31" s="1328"/>
      <c r="G31" s="1328"/>
    </row>
    <row r="32" spans="1:9">
      <c r="A32" s="1327">
        <v>4</v>
      </c>
      <c r="B32" s="1328" t="s">
        <v>1127</v>
      </c>
      <c r="C32" s="1328">
        <f>C27*D32</f>
        <v>0</v>
      </c>
      <c r="D32" s="1330">
        <v>0.05</v>
      </c>
      <c r="E32" s="3152"/>
      <c r="F32" s="3152"/>
      <c r="G32" s="3152"/>
    </row>
    <row r="33" spans="1:7" hidden="1">
      <c r="A33" s="3147" t="s">
        <v>1128</v>
      </c>
      <c r="B33" s="3148"/>
      <c r="C33" s="3148"/>
      <c r="D33" s="3149"/>
      <c r="E33" s="3150"/>
      <c r="F33" s="3150"/>
      <c r="G33" s="3150"/>
    </row>
    <row r="34" spans="1:7" hidden="1">
      <c r="A34" s="1331">
        <v>1</v>
      </c>
      <c r="B34" s="1328" t="s">
        <v>1129</v>
      </c>
      <c r="C34" s="1328"/>
      <c r="D34" s="1328"/>
      <c r="E34" s="3151"/>
      <c r="F34" s="3151"/>
      <c r="G34" s="3151"/>
    </row>
    <row r="35" spans="1:7" hidden="1">
      <c r="A35" s="1331">
        <v>2</v>
      </c>
      <c r="B35" s="1328" t="s">
        <v>1130</v>
      </c>
      <c r="C35" s="1328"/>
      <c r="D35" s="1328"/>
      <c r="E35" s="3151"/>
      <c r="F35" s="3151"/>
      <c r="G35" s="3151"/>
    </row>
    <row r="36" spans="1:7" hidden="1">
      <c r="A36" s="1331">
        <v>3</v>
      </c>
      <c r="B36" s="1328" t="s">
        <v>1131</v>
      </c>
      <c r="C36" s="1328"/>
      <c r="D36" s="1328"/>
      <c r="E36" s="3151"/>
      <c r="F36" s="3151"/>
      <c r="G36" s="3151"/>
    </row>
    <row r="37" spans="1:7" hidden="1">
      <c r="A37" s="1331">
        <v>4</v>
      </c>
      <c r="B37" s="1328" t="s">
        <v>1132</v>
      </c>
      <c r="C37" s="1328"/>
      <c r="D37" s="1328"/>
      <c r="E37" s="3151"/>
      <c r="F37" s="3151"/>
      <c r="G37" s="3151"/>
    </row>
    <row r="38" spans="1:7" hidden="1">
      <c r="A38" s="3147" t="s">
        <v>1133</v>
      </c>
      <c r="B38" s="3148"/>
      <c r="C38" s="3148"/>
      <c r="D38" s="3149"/>
      <c r="E38" s="3150"/>
      <c r="F38" s="3150"/>
      <c r="G38" s="31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2505</v>
      </c>
      <c r="B1" s="2586" t="s">
        <v>2506</v>
      </c>
      <c r="C1" s="1637" t="s">
        <v>2507</v>
      </c>
      <c r="D1" s="1624"/>
      <c r="E1" s="2587"/>
      <c r="F1" s="2588" t="s">
        <v>2508</v>
      </c>
      <c r="G1" s="1634" t="s">
        <v>2509</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1393</v>
      </c>
      <c r="B2" s="1421" t="e">
        <f ca="1">IF(C2="——",ROUND(C49*D3/10000,0),ROUND(C49*D3/10000,0)-D2)</f>
        <v>#DIV/0!</v>
      </c>
      <c r="C2" s="2590"/>
      <c r="D2" s="1368" t="e">
        <f ca="1">SUMIF(INDIRECT("'"&amp;F2&amp;"'"&amp;"!A:A"),"承租人权益价值",INDIRECT("'"&amp;F2&amp;"'"&amp;"!c:c"))</f>
        <v>#REF!</v>
      </c>
      <c r="E2" s="2591" t="s">
        <v>2510</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1394</v>
      </c>
      <c r="B3" s="399" t="e">
        <f ca="1">IF(C2="——",C49,ROUND(B2*10000/D3,0))</f>
        <v>#DIV/0!</v>
      </c>
      <c r="C3" s="400" t="s">
        <v>2511</v>
      </c>
      <c r="D3" s="399">
        <f>IF(D1="",'数据-汇总表'!E3,SUMIF('数据-汇总表'!$C19:$C33,D1,'数据-汇总表'!$E19:$E33))</f>
        <v>16346.349999999999</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2512</v>
      </c>
      <c r="B4" s="402"/>
      <c r="C4" s="3186" t="s">
        <v>2513</v>
      </c>
      <c r="D4" s="3187"/>
      <c r="E4" s="3188" t="s">
        <v>2514</v>
      </c>
      <c r="F4" s="3189"/>
      <c r="G4" s="3186" t="s">
        <v>2515</v>
      </c>
      <c r="H4" s="3187"/>
      <c r="I4" s="3186" t="s">
        <v>2516</v>
      </c>
      <c r="J4" s="3187"/>
      <c r="K4" s="2600" t="s">
        <v>2517</v>
      </c>
      <c r="L4" s="1133"/>
      <c r="M4" s="1134"/>
      <c r="N4" s="1134"/>
      <c r="O4" s="1134"/>
      <c r="P4" s="3190" t="s">
        <v>2518</v>
      </c>
      <c r="Q4" s="3191"/>
      <c r="R4" s="3196" t="s">
        <v>2514</v>
      </c>
      <c r="S4" s="3197"/>
      <c r="T4" s="3196" t="s">
        <v>2515</v>
      </c>
      <c r="U4" s="3197"/>
      <c r="V4" s="3202" t="s">
        <v>2516</v>
      </c>
      <c r="W4" s="3202"/>
      <c r="X4" s="1816"/>
      <c r="Y4" s="3196" t="s">
        <v>2518</v>
      </c>
      <c r="Z4" s="3197"/>
      <c r="AA4" s="3183" t="s">
        <v>2514</v>
      </c>
      <c r="AB4" s="3183" t="s">
        <v>2515</v>
      </c>
      <c r="AC4" s="3183" t="s">
        <v>2516</v>
      </c>
    </row>
    <row r="5" spans="1:29" ht="15">
      <c r="A5" s="404"/>
      <c r="B5" s="405"/>
      <c r="C5" s="3205" t="s">
        <v>2519</v>
      </c>
      <c r="D5" s="3206"/>
      <c r="E5" s="3212" t="s">
        <v>2520</v>
      </c>
      <c r="F5" s="3213"/>
      <c r="G5" s="3205" t="s">
        <v>2521</v>
      </c>
      <c r="H5" s="3206"/>
      <c r="I5" s="3205" t="s">
        <v>2522</v>
      </c>
      <c r="J5" s="3206"/>
      <c r="K5" s="2601"/>
      <c r="L5" s="1133"/>
      <c r="M5" s="1134"/>
      <c r="N5" s="1134"/>
      <c r="O5" s="1134"/>
      <c r="P5" s="3192"/>
      <c r="Q5" s="3193"/>
      <c r="R5" s="3198"/>
      <c r="S5" s="3199"/>
      <c r="T5" s="3198"/>
      <c r="U5" s="3199"/>
      <c r="V5" s="3202"/>
      <c r="W5" s="3202"/>
      <c r="X5" s="1816"/>
      <c r="Y5" s="3198"/>
      <c r="Z5" s="3199"/>
      <c r="AA5" s="3184"/>
      <c r="AB5" s="3184"/>
      <c r="AC5" s="3184"/>
    </row>
    <row r="6" spans="1:29" ht="15.75" thickBot="1">
      <c r="A6" s="406"/>
      <c r="B6" s="407"/>
      <c r="C6" s="3203" t="s">
        <v>2523</v>
      </c>
      <c r="D6" s="3204"/>
      <c r="E6" s="3210" t="s">
        <v>2523</v>
      </c>
      <c r="F6" s="3211"/>
      <c r="G6" s="3203" t="s">
        <v>2523</v>
      </c>
      <c r="H6" s="3204"/>
      <c r="I6" s="3203" t="s">
        <v>2523</v>
      </c>
      <c r="J6" s="3204"/>
      <c r="K6" s="2601" t="s">
        <v>2524</v>
      </c>
      <c r="L6" s="1133"/>
      <c r="M6" s="1134"/>
      <c r="N6" s="1134"/>
      <c r="O6" s="1134"/>
      <c r="P6" s="3194"/>
      <c r="Q6" s="3195"/>
      <c r="R6" s="3198"/>
      <c r="S6" s="3199"/>
      <c r="T6" s="3200"/>
      <c r="U6" s="3201"/>
      <c r="V6" s="3202"/>
      <c r="W6" s="3202"/>
      <c r="X6" s="1816"/>
      <c r="Y6" s="3200"/>
      <c r="Z6" s="3201"/>
      <c r="AA6" s="3185"/>
      <c r="AB6" s="3185"/>
      <c r="AC6" s="3185"/>
    </row>
    <row r="7" spans="1:29" s="117" customFormat="1" ht="15.75" thickBot="1">
      <c r="A7" s="408" t="s">
        <v>2525</v>
      </c>
      <c r="B7" s="409"/>
      <c r="C7" s="410">
        <f>'数据-取费表'!B2</f>
        <v>43200</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207" t="s">
        <v>2526</v>
      </c>
      <c r="Q7" s="3209"/>
      <c r="R7" s="770" t="s">
        <v>22</v>
      </c>
      <c r="S7" s="771">
        <f t="shared" ref="S7:S15" si="0">F7</f>
        <v>0</v>
      </c>
      <c r="T7" s="770" t="s">
        <v>22</v>
      </c>
      <c r="U7" s="771">
        <f t="shared" ref="U7:U15" si="1">H7</f>
        <v>0</v>
      </c>
      <c r="V7" s="770" t="s">
        <v>22</v>
      </c>
      <c r="W7" s="771">
        <f t="shared" ref="W7:W15" si="2">J7</f>
        <v>0</v>
      </c>
      <c r="X7" s="772"/>
      <c r="Y7" s="3207" t="s">
        <v>2526</v>
      </c>
      <c r="Z7" s="3208"/>
      <c r="AA7" s="773" t="e">
        <f>D7/F7</f>
        <v>#DIV/0!</v>
      </c>
      <c r="AB7" s="773" t="e">
        <f>D7/H7</f>
        <v>#DIV/0!</v>
      </c>
      <c r="AC7" s="773" t="e">
        <f>D7/J7</f>
        <v>#DIV/0!</v>
      </c>
    </row>
    <row r="8" spans="1:29" s="117" customFormat="1" ht="15.75" thickBot="1">
      <c r="A8" s="408" t="s">
        <v>2527</v>
      </c>
      <c r="B8" s="409"/>
      <c r="C8" s="414" t="s">
        <v>2528</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207" t="s">
        <v>2529</v>
      </c>
      <c r="Q8" s="3208"/>
      <c r="R8" s="770" t="s">
        <v>22</v>
      </c>
      <c r="S8" s="771">
        <f t="shared" si="0"/>
        <v>0</v>
      </c>
      <c r="T8" s="770" t="s">
        <v>22</v>
      </c>
      <c r="U8" s="771">
        <f t="shared" si="1"/>
        <v>0</v>
      </c>
      <c r="V8" s="770" t="s">
        <v>22</v>
      </c>
      <c r="W8" s="771">
        <f t="shared" si="2"/>
        <v>0</v>
      </c>
      <c r="X8" s="772"/>
      <c r="Y8" s="3207" t="s">
        <v>2529</v>
      </c>
      <c r="Z8" s="3208"/>
      <c r="AA8" s="773" t="e">
        <f t="shared" ref="AA8:AA19" si="3">D8/F8</f>
        <v>#DIV/0!</v>
      </c>
      <c r="AB8" s="773" t="e">
        <f t="shared" ref="AB8:AB19" si="4">D8/H8</f>
        <v>#DIV/0!</v>
      </c>
      <c r="AC8" s="773" t="e">
        <f t="shared" ref="AC8:AC19" si="5">D8/J8</f>
        <v>#DIV/0!</v>
      </c>
    </row>
    <row r="9" spans="1:29" s="117" customFormat="1">
      <c r="A9" s="415" t="s">
        <v>2530</v>
      </c>
      <c r="B9" s="71" t="s">
        <v>2531</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82" t="s">
        <v>2532</v>
      </c>
      <c r="Q9" s="1798" t="str">
        <f t="shared" ref="Q9:Q15" si="6">B9</f>
        <v>用途</v>
      </c>
      <c r="R9" s="770" t="s">
        <v>17</v>
      </c>
      <c r="S9" s="771">
        <f t="shared" si="0"/>
        <v>100</v>
      </c>
      <c r="T9" s="770" t="s">
        <v>17</v>
      </c>
      <c r="U9" s="771">
        <f t="shared" si="1"/>
        <v>100</v>
      </c>
      <c r="V9" s="770" t="s">
        <v>17</v>
      </c>
      <c r="W9" s="771">
        <f t="shared" si="2"/>
        <v>100</v>
      </c>
      <c r="X9" s="772"/>
      <c r="Y9" s="2996" t="s">
        <v>2533</v>
      </c>
      <c r="Z9" s="55" t="str">
        <f t="shared" ref="Z9:Z15" si="7">Q9</f>
        <v>用途</v>
      </c>
      <c r="AA9" s="773">
        <f t="shared" si="3"/>
        <v>1</v>
      </c>
      <c r="AB9" s="773">
        <f t="shared" si="4"/>
        <v>1</v>
      </c>
      <c r="AC9" s="773">
        <f t="shared" si="5"/>
        <v>1</v>
      </c>
    </row>
    <row r="10" spans="1:29" s="427" customFormat="1" ht="27">
      <c r="A10" s="421"/>
      <c r="B10" s="422" t="s">
        <v>2534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2535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2"/>
      <c r="Q11" s="1798" t="str">
        <f t="shared" si="6"/>
        <v>容积率</v>
      </c>
      <c r="R11" s="770" t="s">
        <v>21</v>
      </c>
      <c r="S11" s="771" t="e">
        <f t="shared" si="0"/>
        <v>#N/A</v>
      </c>
      <c r="T11" s="770" t="s">
        <v>21</v>
      </c>
      <c r="U11" s="771" t="e">
        <f t="shared" si="1"/>
        <v>#N/A</v>
      </c>
      <c r="V11" s="770" t="s">
        <v>21</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82"/>
      <c r="Q12" s="1798">
        <f t="shared" si="6"/>
        <v>111</v>
      </c>
      <c r="R12" s="770" t="s">
        <v>21</v>
      </c>
      <c r="S12" s="771">
        <f t="shared" si="0"/>
        <v>100</v>
      </c>
      <c r="T12" s="770" t="s">
        <v>21</v>
      </c>
      <c r="U12" s="771">
        <f t="shared" si="1"/>
        <v>100</v>
      </c>
      <c r="V12" s="770" t="s">
        <v>21</v>
      </c>
      <c r="W12" s="771">
        <f t="shared" si="2"/>
        <v>100</v>
      </c>
      <c r="X12" s="772"/>
      <c r="Y12" s="2996"/>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82"/>
      <c r="Q13" s="1798">
        <f t="shared" si="6"/>
        <v>111</v>
      </c>
      <c r="R13" s="770" t="s">
        <v>21</v>
      </c>
      <c r="S13" s="771">
        <f t="shared" si="0"/>
        <v>100</v>
      </c>
      <c r="T13" s="770" t="s">
        <v>21</v>
      </c>
      <c r="U13" s="771">
        <f t="shared" si="1"/>
        <v>100</v>
      </c>
      <c r="V13" s="770" t="s">
        <v>21</v>
      </c>
      <c r="W13" s="771">
        <f t="shared" si="2"/>
        <v>100</v>
      </c>
      <c r="X13" s="772"/>
      <c r="Y13" s="2996"/>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82"/>
      <c r="Q14" s="1798">
        <f t="shared" si="6"/>
        <v>111</v>
      </c>
      <c r="R14" s="770" t="s">
        <v>21</v>
      </c>
      <c r="S14" s="771">
        <f t="shared" si="0"/>
        <v>100</v>
      </c>
      <c r="T14" s="770" t="s">
        <v>21</v>
      </c>
      <c r="U14" s="771">
        <f t="shared" si="1"/>
        <v>100</v>
      </c>
      <c r="V14" s="770" t="s">
        <v>21</v>
      </c>
      <c r="W14" s="771">
        <f t="shared" si="2"/>
        <v>100</v>
      </c>
      <c r="X14" s="772"/>
      <c r="Y14" s="2996"/>
      <c r="Z14" s="55">
        <f t="shared" si="7"/>
        <v>111</v>
      </c>
      <c r="AA14" s="773">
        <f t="shared" si="3"/>
        <v>1</v>
      </c>
      <c r="AB14" s="773">
        <f t="shared" si="4"/>
        <v>1</v>
      </c>
      <c r="AC14" s="773">
        <f t="shared" si="5"/>
        <v>1</v>
      </c>
    </row>
    <row r="15" spans="1:29" ht="99.75">
      <c r="A15" s="440" t="s">
        <v>2536</v>
      </c>
      <c r="B15" s="69" t="s">
        <v>2063</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80" t="s">
        <v>2537</v>
      </c>
      <c r="Q15" s="1813" t="str">
        <f t="shared" si="6"/>
        <v>居住社区成熟度</v>
      </c>
      <c r="R15" s="774" t="s">
        <v>21</v>
      </c>
      <c r="S15" s="775">
        <f t="shared" si="0"/>
        <v>100</v>
      </c>
      <c r="T15" s="774" t="s">
        <v>21</v>
      </c>
      <c r="U15" s="775">
        <f t="shared" si="1"/>
        <v>100</v>
      </c>
      <c r="V15" s="774" t="s">
        <v>21</v>
      </c>
      <c r="W15" s="775">
        <f t="shared" si="2"/>
        <v>100</v>
      </c>
      <c r="X15" s="1816"/>
      <c r="Y15" s="3173" t="s">
        <v>2537</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181"/>
      <c r="Q16" s="1813"/>
      <c r="R16" s="774"/>
      <c r="S16" s="775"/>
      <c r="T16" s="774"/>
      <c r="U16" s="775"/>
      <c r="V16" s="774"/>
      <c r="W16" s="775"/>
      <c r="X16" s="1816"/>
      <c r="Y16" s="3174"/>
      <c r="Z16" s="1817"/>
      <c r="AA16" s="1814">
        <v>1</v>
      </c>
      <c r="AB16" s="1814">
        <v>1</v>
      </c>
      <c r="AC16" s="1814">
        <v>1</v>
      </c>
    </row>
    <row r="17" spans="1:29" ht="85.5">
      <c r="A17" s="428"/>
      <c r="B17" s="451" t="s">
        <v>2074</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81"/>
      <c r="Q17" s="1813" t="str">
        <f>B17</f>
        <v>交通便捷度</v>
      </c>
      <c r="R17" s="774" t="s">
        <v>21</v>
      </c>
      <c r="S17" s="775">
        <f>F17</f>
        <v>100</v>
      </c>
      <c r="T17" s="774" t="s">
        <v>21</v>
      </c>
      <c r="U17" s="775">
        <f>H17</f>
        <v>100</v>
      </c>
      <c r="V17" s="774" t="s">
        <v>21</v>
      </c>
      <c r="W17" s="775">
        <f>J17</f>
        <v>100</v>
      </c>
      <c r="X17" s="1816"/>
      <c r="Y17" s="3174"/>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181"/>
      <c r="Q18" s="1813"/>
      <c r="R18" s="774"/>
      <c r="S18" s="775"/>
      <c r="T18" s="774"/>
      <c r="U18" s="775"/>
      <c r="V18" s="774"/>
      <c r="W18" s="775"/>
      <c r="X18" s="1816"/>
      <c r="Y18" s="3174"/>
      <c r="Z18" s="1817"/>
      <c r="AA18" s="1814">
        <v>1</v>
      </c>
      <c r="AB18" s="1814">
        <v>1</v>
      </c>
      <c r="AC18" s="1814">
        <v>1</v>
      </c>
    </row>
    <row r="19" spans="1:29" ht="42.75">
      <c r="A19" s="428"/>
      <c r="B19" s="451" t="s">
        <v>2072</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81"/>
      <c r="Q19" s="1813" t="str">
        <f>B19</f>
        <v>公共配套设施</v>
      </c>
      <c r="R19" s="774" t="s">
        <v>21</v>
      </c>
      <c r="S19" s="775">
        <f>F19</f>
        <v>100</v>
      </c>
      <c r="T19" s="774" t="s">
        <v>21</v>
      </c>
      <c r="U19" s="775">
        <f>H19</f>
        <v>100</v>
      </c>
      <c r="V19" s="774" t="s">
        <v>21</v>
      </c>
      <c r="W19" s="775">
        <f>J19</f>
        <v>100</v>
      </c>
      <c r="X19" s="1816"/>
      <c r="Y19" s="3174"/>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181"/>
      <c r="Q20" s="1813"/>
      <c r="R20" s="774"/>
      <c r="S20" s="775"/>
      <c r="T20" s="774"/>
      <c r="U20" s="775"/>
      <c r="V20" s="774"/>
      <c r="W20" s="775"/>
      <c r="X20" s="1816"/>
      <c r="Y20" s="3174"/>
      <c r="Z20" s="1817"/>
      <c r="AA20" s="1814">
        <v>1</v>
      </c>
      <c r="AB20" s="1814">
        <v>1</v>
      </c>
      <c r="AC20" s="1814">
        <v>1</v>
      </c>
    </row>
    <row r="21" spans="1:29" ht="28.5">
      <c r="A21" s="428"/>
      <c r="B21" s="1387" t="s">
        <v>2075</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81"/>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181"/>
      <c r="Q22" s="1813"/>
      <c r="R22" s="774"/>
      <c r="S22" s="775"/>
      <c r="T22" s="774"/>
      <c r="U22" s="775"/>
      <c r="V22" s="774"/>
      <c r="W22" s="775"/>
      <c r="X22" s="1816"/>
      <c r="Y22" s="3174"/>
      <c r="Z22" s="1817"/>
      <c r="AA22" s="1814">
        <v>1</v>
      </c>
      <c r="AB22" s="1814">
        <v>1</v>
      </c>
      <c r="AC22" s="1814">
        <v>1</v>
      </c>
    </row>
    <row r="23" spans="1:29" ht="57">
      <c r="A23" s="428"/>
      <c r="B23" s="451" t="s">
        <v>2078</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81"/>
      <c r="Q23" s="1813" t="str">
        <f>B23</f>
        <v>自然及人文环境</v>
      </c>
      <c r="R23" s="774" t="s">
        <v>21</v>
      </c>
      <c r="S23" s="775">
        <f>F23</f>
        <v>100</v>
      </c>
      <c r="T23" s="774" t="s">
        <v>21</v>
      </c>
      <c r="U23" s="775">
        <f>H23</f>
        <v>100</v>
      </c>
      <c r="V23" s="774" t="s">
        <v>21</v>
      </c>
      <c r="W23" s="775">
        <f>J23</f>
        <v>100</v>
      </c>
      <c r="X23" s="1816"/>
      <c r="Y23" s="3174"/>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181"/>
      <c r="Q24" s="1813"/>
      <c r="R24" s="774"/>
      <c r="S24" s="775"/>
      <c r="T24" s="774"/>
      <c r="U24" s="775"/>
      <c r="V24" s="774"/>
      <c r="W24" s="775"/>
      <c r="X24" s="1816"/>
      <c r="Y24" s="3174"/>
      <c r="Z24" s="1817"/>
      <c r="AA24" s="1814">
        <v>1</v>
      </c>
      <c r="AB24" s="1814">
        <v>1</v>
      </c>
      <c r="AC24" s="1814">
        <v>1</v>
      </c>
    </row>
    <row r="25" spans="1:29" ht="15">
      <c r="A25" s="428"/>
      <c r="B25" s="422" t="s">
        <v>2538</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18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4"/>
      <c r="Z25" s="1817" t="str">
        <f>Q25</f>
        <v>楼层-1</v>
      </c>
      <c r="AA25" s="1814">
        <f t="shared" ref="AA25:AA46" si="15">D25/F25</f>
        <v>1</v>
      </c>
      <c r="AB25" s="1814">
        <f t="shared" ref="AB25:AB46" si="16">D25/H25</f>
        <v>1</v>
      </c>
      <c r="AC25" s="1814">
        <f t="shared" ref="AC25:AC46" si="17">D25/J25</f>
        <v>1</v>
      </c>
    </row>
    <row r="26" spans="1:29" ht="15">
      <c r="A26" s="428"/>
      <c r="B26" s="422" t="s">
        <v>2539</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181"/>
      <c r="Q26" s="1813" t="str">
        <f t="shared" si="11"/>
        <v>朝向</v>
      </c>
      <c r="R26" s="774" t="s">
        <v>21</v>
      </c>
      <c r="S26" s="775">
        <f t="shared" si="12"/>
        <v>100</v>
      </c>
      <c r="T26" s="774" t="s">
        <v>21</v>
      </c>
      <c r="U26" s="775">
        <f t="shared" si="13"/>
        <v>100</v>
      </c>
      <c r="V26" s="774" t="s">
        <v>21</v>
      </c>
      <c r="W26" s="775">
        <f t="shared" si="14"/>
        <v>100</v>
      </c>
      <c r="X26" s="1816"/>
      <c r="Y26" s="317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181"/>
      <c r="Q27" s="1798">
        <f t="shared" si="11"/>
        <v>111</v>
      </c>
      <c r="R27" s="770" t="s">
        <v>21</v>
      </c>
      <c r="S27" s="771">
        <f t="shared" si="12"/>
        <v>100</v>
      </c>
      <c r="T27" s="770" t="s">
        <v>21</v>
      </c>
      <c r="U27" s="771">
        <f t="shared" si="13"/>
        <v>100</v>
      </c>
      <c r="V27" s="770" t="s">
        <v>21</v>
      </c>
      <c r="W27" s="771">
        <f t="shared" si="14"/>
        <v>100</v>
      </c>
      <c r="X27" s="772"/>
      <c r="Y27" s="317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181"/>
      <c r="Q28" s="1813">
        <f t="shared" si="11"/>
        <v>111</v>
      </c>
      <c r="R28" s="774" t="s">
        <v>21</v>
      </c>
      <c r="S28" s="775">
        <f t="shared" si="12"/>
        <v>100</v>
      </c>
      <c r="T28" s="774" t="s">
        <v>21</v>
      </c>
      <c r="U28" s="775">
        <f t="shared" si="13"/>
        <v>100</v>
      </c>
      <c r="V28" s="774" t="s">
        <v>21</v>
      </c>
      <c r="W28" s="775">
        <f t="shared" si="14"/>
        <v>100</v>
      </c>
      <c r="X28" s="1816"/>
      <c r="Y28" s="317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181"/>
      <c r="Q29" s="1813">
        <f t="shared" si="11"/>
        <v>111</v>
      </c>
      <c r="R29" s="774" t="s">
        <v>21</v>
      </c>
      <c r="S29" s="775">
        <f t="shared" si="12"/>
        <v>100</v>
      </c>
      <c r="T29" s="774" t="s">
        <v>21</v>
      </c>
      <c r="U29" s="775">
        <f t="shared" si="13"/>
        <v>100</v>
      </c>
      <c r="V29" s="774" t="s">
        <v>21</v>
      </c>
      <c r="W29" s="775">
        <f t="shared" si="14"/>
        <v>100</v>
      </c>
      <c r="X29" s="1816"/>
      <c r="Y29" s="317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181"/>
      <c r="Q30" s="1813">
        <f t="shared" si="11"/>
        <v>111</v>
      </c>
      <c r="R30" s="774" t="s">
        <v>21</v>
      </c>
      <c r="S30" s="775">
        <f t="shared" si="12"/>
        <v>100</v>
      </c>
      <c r="T30" s="774" t="s">
        <v>21</v>
      </c>
      <c r="U30" s="775">
        <f t="shared" si="13"/>
        <v>100</v>
      </c>
      <c r="V30" s="774" t="s">
        <v>21</v>
      </c>
      <c r="W30" s="775">
        <f t="shared" si="14"/>
        <v>100</v>
      </c>
      <c r="X30" s="1816"/>
      <c r="Y30" s="317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181"/>
      <c r="Q31" s="1813">
        <f t="shared" si="11"/>
        <v>111</v>
      </c>
      <c r="R31" s="774" t="s">
        <v>21</v>
      </c>
      <c r="S31" s="775">
        <f t="shared" si="12"/>
        <v>100</v>
      </c>
      <c r="T31" s="774" t="s">
        <v>21</v>
      </c>
      <c r="U31" s="775">
        <f t="shared" si="13"/>
        <v>100</v>
      </c>
      <c r="V31" s="774" t="s">
        <v>21</v>
      </c>
      <c r="W31" s="775">
        <f t="shared" si="14"/>
        <v>100</v>
      </c>
      <c r="X31" s="1816"/>
      <c r="Y31" s="3174"/>
      <c r="Z31" s="1817">
        <f t="shared" si="18"/>
        <v>111</v>
      </c>
      <c r="AA31" s="1814">
        <f t="shared" si="15"/>
        <v>1</v>
      </c>
      <c r="AB31" s="1814">
        <f t="shared" si="16"/>
        <v>1</v>
      </c>
      <c r="AC31" s="1814">
        <f t="shared" si="17"/>
        <v>1</v>
      </c>
    </row>
    <row r="32" spans="1:29" ht="15">
      <c r="A32" s="440" t="s">
        <v>2540</v>
      </c>
      <c r="B32" s="71" t="s">
        <v>2541</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175" t="s">
        <v>2542</v>
      </c>
      <c r="Q32" s="1813" t="str">
        <f t="shared" si="11"/>
        <v>建筑类型</v>
      </c>
      <c r="R32" s="774" t="s">
        <v>21</v>
      </c>
      <c r="S32" s="775">
        <f t="shared" si="12"/>
        <v>100</v>
      </c>
      <c r="T32" s="774" t="s">
        <v>21</v>
      </c>
      <c r="U32" s="775">
        <f t="shared" si="13"/>
        <v>100</v>
      </c>
      <c r="V32" s="774" t="s">
        <v>21</v>
      </c>
      <c r="W32" s="775">
        <f t="shared" si="14"/>
        <v>100</v>
      </c>
      <c r="X32" s="1816"/>
      <c r="Y32" s="3178" t="s">
        <v>2542</v>
      </c>
      <c r="Z32" s="1817" t="str">
        <f t="shared" si="18"/>
        <v>建筑类型</v>
      </c>
      <c r="AA32" s="1814">
        <f t="shared" si="15"/>
        <v>1</v>
      </c>
      <c r="AB32" s="1814">
        <f t="shared" si="16"/>
        <v>1</v>
      </c>
      <c r="AC32" s="1814">
        <f t="shared" si="17"/>
        <v>1</v>
      </c>
    </row>
    <row r="33" spans="1:29" s="471" customFormat="1" ht="15">
      <c r="A33" s="468"/>
      <c r="B33" s="422" t="s">
        <v>2543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176"/>
      <c r="Q33" s="776" t="str">
        <f t="shared" si="11"/>
        <v>项目建筑规模</v>
      </c>
      <c r="R33" s="777" t="s">
        <v>21</v>
      </c>
      <c r="S33" s="778" t="e">
        <f t="shared" si="12"/>
        <v>#N/A</v>
      </c>
      <c r="T33" s="777" t="s">
        <v>21</v>
      </c>
      <c r="U33" s="778" t="e">
        <f t="shared" si="13"/>
        <v>#N/A</v>
      </c>
      <c r="V33" s="777" t="s">
        <v>21</v>
      </c>
      <c r="W33" s="778" t="e">
        <f t="shared" si="14"/>
        <v>#N/A</v>
      </c>
      <c r="X33" s="779"/>
      <c r="Y33" s="3178"/>
      <c r="Z33" s="780" t="str">
        <f t="shared" si="18"/>
        <v>项目建筑规模</v>
      </c>
      <c r="AA33" s="1814" t="e">
        <f t="shared" si="15"/>
        <v>#N/A</v>
      </c>
      <c r="AB33" s="1814" t="e">
        <f t="shared" si="16"/>
        <v>#N/A</v>
      </c>
      <c r="AC33" s="1814" t="e">
        <f t="shared" si="17"/>
        <v>#N/A</v>
      </c>
    </row>
    <row r="34" spans="1:29" ht="15">
      <c r="A34" s="472"/>
      <c r="B34" s="422" t="s">
        <v>2544</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176"/>
      <c r="Q34" s="1813" t="str">
        <f t="shared" si="11"/>
        <v>建筑结构</v>
      </c>
      <c r="R34" s="774" t="s">
        <v>21</v>
      </c>
      <c r="S34" s="775">
        <f t="shared" si="12"/>
        <v>100</v>
      </c>
      <c r="T34" s="774" t="s">
        <v>21</v>
      </c>
      <c r="U34" s="775">
        <f t="shared" si="13"/>
        <v>100</v>
      </c>
      <c r="V34" s="774" t="s">
        <v>21</v>
      </c>
      <c r="W34" s="775">
        <f t="shared" si="14"/>
        <v>100</v>
      </c>
      <c r="X34" s="1816"/>
      <c r="Y34" s="3178"/>
      <c r="Z34" s="1817" t="str">
        <f t="shared" si="18"/>
        <v>建筑结构</v>
      </c>
      <c r="AA34" s="1814">
        <f t="shared" si="15"/>
        <v>1</v>
      </c>
      <c r="AB34" s="1814">
        <f t="shared" si="16"/>
        <v>1</v>
      </c>
      <c r="AC34" s="1814">
        <f t="shared" si="17"/>
        <v>1</v>
      </c>
    </row>
    <row r="35" spans="1:29" ht="15">
      <c r="A35" s="472"/>
      <c r="B35" s="422" t="s">
        <v>2545</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176"/>
      <c r="Q35" s="1813" t="str">
        <f t="shared" si="11"/>
        <v>建筑品质</v>
      </c>
      <c r="R35" s="774" t="s">
        <v>21</v>
      </c>
      <c r="S35" s="775">
        <f t="shared" si="12"/>
        <v>100</v>
      </c>
      <c r="T35" s="774" t="s">
        <v>21</v>
      </c>
      <c r="U35" s="775">
        <f t="shared" si="13"/>
        <v>100</v>
      </c>
      <c r="V35" s="774" t="s">
        <v>21</v>
      </c>
      <c r="W35" s="775">
        <f t="shared" si="14"/>
        <v>100</v>
      </c>
      <c r="X35" s="1816"/>
      <c r="Y35" s="3178"/>
      <c r="Z35" s="1817" t="str">
        <f t="shared" si="18"/>
        <v>建筑品质</v>
      </c>
      <c r="AA35" s="1814">
        <f t="shared" si="15"/>
        <v>1</v>
      </c>
      <c r="AB35" s="1814">
        <f t="shared" si="16"/>
        <v>1</v>
      </c>
      <c r="AC35" s="1814">
        <f t="shared" si="17"/>
        <v>1</v>
      </c>
    </row>
    <row r="36" spans="1:29" ht="15">
      <c r="A36" s="472"/>
      <c r="B36" s="422" t="s">
        <v>2546</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176"/>
      <c r="Q36" s="1813" t="str">
        <f t="shared" si="11"/>
        <v>公共部分装修</v>
      </c>
      <c r="R36" s="774" t="s">
        <v>21</v>
      </c>
      <c r="S36" s="775">
        <f t="shared" si="12"/>
        <v>100</v>
      </c>
      <c r="T36" s="774" t="s">
        <v>21</v>
      </c>
      <c r="U36" s="775">
        <f t="shared" si="13"/>
        <v>100</v>
      </c>
      <c r="V36" s="774" t="s">
        <v>21</v>
      </c>
      <c r="W36" s="775">
        <f t="shared" si="14"/>
        <v>100</v>
      </c>
      <c r="X36" s="1816"/>
      <c r="Y36" s="3178"/>
      <c r="Z36" s="1817" t="str">
        <f t="shared" si="18"/>
        <v>公共部分装修</v>
      </c>
      <c r="AA36" s="1814">
        <f t="shared" si="15"/>
        <v>1</v>
      </c>
      <c r="AB36" s="1814">
        <f t="shared" si="16"/>
        <v>1</v>
      </c>
      <c r="AC36" s="1814">
        <f t="shared" si="17"/>
        <v>1</v>
      </c>
    </row>
    <row r="37" spans="1:29" s="117" customFormat="1" ht="15">
      <c r="A37" s="473"/>
      <c r="B37" s="422" t="s">
        <v>2547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76"/>
      <c r="Q37" s="1798" t="str">
        <f t="shared" si="11"/>
        <v>成新度</v>
      </c>
      <c r="R37" s="770" t="s">
        <v>21</v>
      </c>
      <c r="S37" s="771" t="e">
        <f t="shared" si="12"/>
        <v>#N/A</v>
      </c>
      <c r="T37" s="770" t="s">
        <v>21</v>
      </c>
      <c r="U37" s="771" t="e">
        <f t="shared" si="13"/>
        <v>#N/A</v>
      </c>
      <c r="V37" s="770" t="s">
        <v>21</v>
      </c>
      <c r="W37" s="771" t="e">
        <f t="shared" si="14"/>
        <v>#N/A</v>
      </c>
      <c r="X37" s="772"/>
      <c r="Y37" s="3178"/>
      <c r="Z37" s="55" t="str">
        <f t="shared" si="18"/>
        <v>成新度</v>
      </c>
      <c r="AA37" s="773" t="e">
        <f t="shared" si="15"/>
        <v>#N/A</v>
      </c>
      <c r="AB37" s="773" t="e">
        <f t="shared" si="16"/>
        <v>#N/A</v>
      </c>
      <c r="AC37" s="773" t="e">
        <f t="shared" si="17"/>
        <v>#N/A</v>
      </c>
    </row>
    <row r="38" spans="1:29" ht="15">
      <c r="A38" s="472"/>
      <c r="B38" s="422" t="s">
        <v>2548</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176" t="s">
        <v>2542</v>
      </c>
      <c r="Q38" s="1813" t="str">
        <f t="shared" si="11"/>
        <v>物业管理</v>
      </c>
      <c r="R38" s="774" t="s">
        <v>21</v>
      </c>
      <c r="S38" s="775">
        <f t="shared" si="12"/>
        <v>100</v>
      </c>
      <c r="T38" s="774" t="s">
        <v>21</v>
      </c>
      <c r="U38" s="775">
        <f t="shared" si="13"/>
        <v>100</v>
      </c>
      <c r="V38" s="774" t="s">
        <v>21</v>
      </c>
      <c r="W38" s="775">
        <f t="shared" si="14"/>
        <v>100</v>
      </c>
      <c r="X38" s="1816"/>
      <c r="Y38" s="3178" t="s">
        <v>2542</v>
      </c>
      <c r="Z38" s="1817" t="str">
        <f t="shared" si="18"/>
        <v>物业管理</v>
      </c>
      <c r="AA38" s="1814">
        <f t="shared" si="15"/>
        <v>1</v>
      </c>
      <c r="AB38" s="1814">
        <f t="shared" si="16"/>
        <v>1</v>
      </c>
      <c r="AC38" s="1814">
        <f t="shared" si="17"/>
        <v>1</v>
      </c>
    </row>
    <row r="39" spans="1:29" ht="15">
      <c r="A39" s="472"/>
      <c r="B39" s="422" t="s">
        <v>2549</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176"/>
      <c r="Q39" s="1813" t="str">
        <f t="shared" si="11"/>
        <v>市政基础设施</v>
      </c>
      <c r="R39" s="774" t="s">
        <v>21</v>
      </c>
      <c r="S39" s="775">
        <f t="shared" si="12"/>
        <v>100</v>
      </c>
      <c r="T39" s="774" t="s">
        <v>21</v>
      </c>
      <c r="U39" s="775">
        <f t="shared" si="13"/>
        <v>100</v>
      </c>
      <c r="V39" s="774" t="s">
        <v>21</v>
      </c>
      <c r="W39" s="775">
        <f t="shared" si="14"/>
        <v>100</v>
      </c>
      <c r="X39" s="1816"/>
      <c r="Y39" s="3178"/>
      <c r="Z39" s="1817" t="str">
        <f t="shared" si="18"/>
        <v>市政基础设施</v>
      </c>
      <c r="AA39" s="1814">
        <f t="shared" si="15"/>
        <v>1</v>
      </c>
      <c r="AB39" s="1814">
        <f t="shared" si="16"/>
        <v>1</v>
      </c>
      <c r="AC39" s="1814">
        <f t="shared" si="17"/>
        <v>1</v>
      </c>
    </row>
    <row r="40" spans="1:29" ht="15">
      <c r="A40" s="472"/>
      <c r="B40" s="422" t="s">
        <v>2550</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176"/>
      <c r="Q40" s="1813" t="str">
        <f t="shared" si="11"/>
        <v>房型</v>
      </c>
      <c r="R40" s="774" t="s">
        <v>21</v>
      </c>
      <c r="S40" s="775">
        <f t="shared" si="12"/>
        <v>100</v>
      </c>
      <c r="T40" s="774" t="s">
        <v>21</v>
      </c>
      <c r="U40" s="775">
        <f t="shared" si="13"/>
        <v>100</v>
      </c>
      <c r="V40" s="774" t="s">
        <v>21</v>
      </c>
      <c r="W40" s="775">
        <f t="shared" si="14"/>
        <v>100</v>
      </c>
      <c r="X40" s="1816"/>
      <c r="Y40" s="3178"/>
      <c r="Z40" s="1817" t="str">
        <f t="shared" si="18"/>
        <v>房型</v>
      </c>
      <c r="AA40" s="1814">
        <f t="shared" si="15"/>
        <v>1</v>
      </c>
      <c r="AB40" s="1814">
        <f t="shared" si="16"/>
        <v>1</v>
      </c>
      <c r="AC40" s="1814">
        <f t="shared" si="17"/>
        <v>1</v>
      </c>
    </row>
    <row r="41" spans="1:29" s="471" customFormat="1" ht="28.5">
      <c r="A41" s="468"/>
      <c r="B41" s="422" t="s">
        <v>2551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176"/>
      <c r="Q41" s="776" t="str">
        <f t="shared" si="11"/>
        <v>单套/主力户型建筑面积</v>
      </c>
      <c r="R41" s="777" t="s">
        <v>21</v>
      </c>
      <c r="S41" s="778">
        <f t="shared" si="12"/>
        <v>100</v>
      </c>
      <c r="T41" s="777" t="s">
        <v>21</v>
      </c>
      <c r="U41" s="778">
        <f t="shared" si="13"/>
        <v>100</v>
      </c>
      <c r="V41" s="777" t="s">
        <v>21</v>
      </c>
      <c r="W41" s="778">
        <f t="shared" si="14"/>
        <v>100</v>
      </c>
      <c r="X41" s="779"/>
      <c r="Y41" s="3178"/>
      <c r="Z41" s="780" t="str">
        <f t="shared" si="18"/>
        <v>单套/主力户型建筑面积</v>
      </c>
      <c r="AA41" s="1814">
        <f t="shared" si="15"/>
        <v>1</v>
      </c>
      <c r="AB41" s="1814">
        <f t="shared" si="16"/>
        <v>1</v>
      </c>
      <c r="AC41" s="1814">
        <f t="shared" si="17"/>
        <v>1</v>
      </c>
    </row>
    <row r="42" spans="1:29" ht="15">
      <c r="A42" s="472"/>
      <c r="B42" s="422" t="s">
        <v>2552</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176"/>
      <c r="Q42" s="1813" t="str">
        <f t="shared" si="11"/>
        <v>内部装修</v>
      </c>
      <c r="R42" s="774" t="s">
        <v>21</v>
      </c>
      <c r="S42" s="775">
        <f t="shared" si="12"/>
        <v>100</v>
      </c>
      <c r="T42" s="774" t="s">
        <v>21</v>
      </c>
      <c r="U42" s="775">
        <f t="shared" si="13"/>
        <v>100</v>
      </c>
      <c r="V42" s="774" t="s">
        <v>21</v>
      </c>
      <c r="W42" s="775">
        <f t="shared" si="14"/>
        <v>100</v>
      </c>
      <c r="X42" s="1816"/>
      <c r="Y42" s="3178"/>
      <c r="Z42" s="1817" t="str">
        <f t="shared" si="18"/>
        <v>内部装修</v>
      </c>
      <c r="AA42" s="1814">
        <f t="shared" si="15"/>
        <v>1</v>
      </c>
      <c r="AB42" s="1814">
        <f t="shared" si="16"/>
        <v>1</v>
      </c>
      <c r="AC42" s="1814">
        <f t="shared" si="17"/>
        <v>1</v>
      </c>
    </row>
    <row r="43" spans="1:29" ht="15">
      <c r="A43" s="472"/>
      <c r="B43" s="422" t="s">
        <v>2553</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176"/>
      <c r="Q43" s="1813" t="str">
        <f t="shared" si="11"/>
        <v>内部装修维护情况</v>
      </c>
      <c r="R43" s="774" t="s">
        <v>21</v>
      </c>
      <c r="S43" s="775">
        <f t="shared" si="12"/>
        <v>100</v>
      </c>
      <c r="T43" s="774" t="s">
        <v>21</v>
      </c>
      <c r="U43" s="775">
        <f t="shared" si="13"/>
        <v>100</v>
      </c>
      <c r="V43" s="774" t="s">
        <v>21</v>
      </c>
      <c r="W43" s="775">
        <f t="shared" si="14"/>
        <v>100</v>
      </c>
      <c r="X43" s="1816"/>
      <c r="Y43" s="317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176"/>
      <c r="Q44" s="1798">
        <f t="shared" si="11"/>
        <v>111</v>
      </c>
      <c r="R44" s="770" t="s">
        <v>21</v>
      </c>
      <c r="S44" s="771">
        <f t="shared" si="12"/>
        <v>100</v>
      </c>
      <c r="T44" s="770" t="s">
        <v>21</v>
      </c>
      <c r="U44" s="771">
        <f t="shared" si="13"/>
        <v>100</v>
      </c>
      <c r="V44" s="770" t="s">
        <v>21</v>
      </c>
      <c r="W44" s="771">
        <f t="shared" si="14"/>
        <v>100</v>
      </c>
      <c r="X44" s="772"/>
      <c r="Y44" s="317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176"/>
      <c r="Q45" s="1813">
        <f t="shared" si="11"/>
        <v>111</v>
      </c>
      <c r="R45" s="774" t="s">
        <v>21</v>
      </c>
      <c r="S45" s="775">
        <f t="shared" si="12"/>
        <v>100</v>
      </c>
      <c r="T45" s="774" t="s">
        <v>21</v>
      </c>
      <c r="U45" s="775">
        <f t="shared" si="13"/>
        <v>100</v>
      </c>
      <c r="V45" s="774" t="s">
        <v>21</v>
      </c>
      <c r="W45" s="775">
        <f t="shared" si="14"/>
        <v>100</v>
      </c>
      <c r="X45" s="1816"/>
      <c r="Y45" s="3178"/>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177"/>
      <c r="Q46" s="1813">
        <f t="shared" si="11"/>
        <v>111</v>
      </c>
      <c r="R46" s="774" t="s">
        <v>20</v>
      </c>
      <c r="S46" s="775">
        <f t="shared" si="12"/>
        <v>100</v>
      </c>
      <c r="T46" s="774" t="s">
        <v>20</v>
      </c>
      <c r="U46" s="775">
        <f t="shared" si="13"/>
        <v>100</v>
      </c>
      <c r="V46" s="774" t="s">
        <v>20</v>
      </c>
      <c r="W46" s="775">
        <f t="shared" si="14"/>
        <v>100</v>
      </c>
      <c r="X46" s="1816"/>
      <c r="Y46" s="3179"/>
      <c r="Z46" s="1817">
        <f t="shared" si="18"/>
        <v>111</v>
      </c>
      <c r="AA46" s="1814">
        <f t="shared" si="15"/>
        <v>1</v>
      </c>
      <c r="AB46" s="1814">
        <f t="shared" si="16"/>
        <v>1</v>
      </c>
      <c r="AC46" s="1814">
        <f t="shared" si="17"/>
        <v>1</v>
      </c>
    </row>
    <row r="47" spans="1:29" ht="15">
      <c r="A47" s="479" t="s">
        <v>2554</v>
      </c>
      <c r="B47" s="480"/>
      <c r="C47" s="1410" t="s">
        <v>19</v>
      </c>
      <c r="D47" s="1411"/>
      <c r="E47" s="1412"/>
      <c r="F47" s="1413"/>
      <c r="G47" s="1414"/>
      <c r="H47" s="1415"/>
      <c r="I47" s="1412"/>
      <c r="J47" s="1415"/>
      <c r="K47" s="2625"/>
      <c r="L47" s="1146"/>
      <c r="M47" s="1147"/>
      <c r="N47" s="1134"/>
      <c r="O47" s="1147"/>
      <c r="P47" s="3171" t="str">
        <f>A47</f>
        <v>成交单价（元/平方米）</v>
      </c>
      <c r="Q47" s="3171"/>
      <c r="R47" s="3172">
        <f>E47</f>
        <v>0</v>
      </c>
      <c r="S47" s="3172"/>
      <c r="T47" s="3172">
        <f>G47</f>
        <v>0</v>
      </c>
      <c r="U47" s="3172"/>
      <c r="V47" s="3172">
        <f>I47</f>
        <v>0</v>
      </c>
      <c r="W47" s="3172"/>
      <c r="X47" s="759"/>
      <c r="Y47" s="781"/>
      <c r="Z47" s="759"/>
      <c r="AA47" s="759"/>
      <c r="AB47" s="759"/>
      <c r="AC47" s="759"/>
    </row>
    <row r="48" spans="1:29" ht="15.75" thickBot="1">
      <c r="A48" s="486" t="s">
        <v>2555</v>
      </c>
      <c r="B48" s="487"/>
      <c r="C48" s="1416" t="e">
        <f>R49</f>
        <v>#DIV/0!</v>
      </c>
      <c r="D48" s="1417"/>
      <c r="E48" s="1418" t="e">
        <f>R48</f>
        <v>#DIV/0!</v>
      </c>
      <c r="F48" s="1418"/>
      <c r="G48" s="1416" t="e">
        <f>T48</f>
        <v>#DIV/0!</v>
      </c>
      <c r="H48" s="1417"/>
      <c r="I48" s="1418" t="e">
        <f>V48</f>
        <v>#DIV/0!</v>
      </c>
      <c r="J48" s="1417"/>
      <c r="K48" s="2626"/>
      <c r="L48" s="1146"/>
      <c r="M48" s="1147"/>
      <c r="N48" s="1147"/>
      <c r="O48" s="1147"/>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9"/>
      <c r="Y48" s="759"/>
      <c r="Z48" s="759"/>
      <c r="AA48" s="759"/>
      <c r="AB48" s="759"/>
      <c r="AC48" s="759"/>
    </row>
    <row r="49" spans="1:29" ht="15.75" thickBot="1">
      <c r="A49" s="492" t="s">
        <v>2556</v>
      </c>
      <c r="B49" s="493"/>
      <c r="C49" s="1419" t="e">
        <f>R49</f>
        <v>#DIV/0!</v>
      </c>
      <c r="D49" s="1420"/>
      <c r="E49" s="1420"/>
      <c r="F49" s="1420"/>
      <c r="G49" s="1420"/>
      <c r="H49" s="1420"/>
      <c r="I49" s="1420"/>
      <c r="J49" s="1420"/>
      <c r="K49" s="2627"/>
      <c r="L49" s="1146"/>
      <c r="M49" s="1147"/>
      <c r="N49" s="1147"/>
      <c r="O49" s="1147"/>
      <c r="P49" s="3168" t="str">
        <f>A49</f>
        <v>估价对象XX用房的比较价值（楼面单价，元/平方米）</v>
      </c>
      <c r="Q49" s="3169"/>
      <c r="R49" s="3170" t="e">
        <f>IF(F1="售价",ROUND(AVERAGE(R48:V48),0),ROUND(AVERAGE(R48:V48),1))</f>
        <v>#DIV/0!</v>
      </c>
      <c r="S49" s="3170"/>
      <c r="T49" s="3170"/>
      <c r="U49" s="3170"/>
      <c r="V49" s="3170"/>
      <c r="W49" s="317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2560</v>
      </c>
      <c r="B57" s="759"/>
      <c r="C57" s="764"/>
      <c r="D57" s="764"/>
      <c r="E57" s="764"/>
      <c r="F57" s="765"/>
      <c r="G57" s="765"/>
      <c r="H57" s="764"/>
      <c r="I57" s="764"/>
      <c r="J57" s="764"/>
      <c r="K57" s="1163"/>
      <c r="L57" s="1164"/>
      <c r="M57" s="1162"/>
      <c r="N57" s="1162"/>
      <c r="O57" s="1162"/>
      <c r="P57" s="2630"/>
      <c r="Q57" s="504"/>
    </row>
    <row r="58" spans="1:29" s="508" customFormat="1" ht="15">
      <c r="A58" s="505" t="s">
        <v>2561</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2562</v>
      </c>
      <c r="B60" s="516"/>
      <c r="C60" s="517"/>
      <c r="D60" s="518"/>
      <c r="E60" s="518"/>
      <c r="F60" s="518"/>
      <c r="G60" s="518"/>
      <c r="H60" s="518"/>
      <c r="I60" s="518"/>
      <c r="J60" s="518"/>
      <c r="K60" s="518"/>
      <c r="L60" s="518"/>
      <c r="M60" s="519"/>
      <c r="N60" s="518"/>
      <c r="O60" s="519"/>
      <c r="P60" s="2632"/>
      <c r="Q60" s="504"/>
    </row>
    <row r="61" spans="1:29" s="117" customFormat="1" ht="15">
      <c r="A61" s="521" t="s">
        <v>2563</v>
      </c>
      <c r="B61" s="510"/>
      <c r="C61" s="522" t="s">
        <v>2564</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2565</v>
      </c>
      <c r="B63" s="528" t="s">
        <v>2531</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2534</v>
      </c>
      <c r="C65" s="539" t="s">
        <v>2566</v>
      </c>
      <c r="D65" s="539" t="s">
        <v>2567</v>
      </c>
      <c r="E65" s="539" t="s">
        <v>2568</v>
      </c>
      <c r="F65" s="539" t="s">
        <v>2569</v>
      </c>
      <c r="G65" s="539" t="s">
        <v>2570</v>
      </c>
      <c r="H65" s="539" t="s">
        <v>2571</v>
      </c>
      <c r="I65" s="539" t="s">
        <v>2572</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2535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2536</v>
      </c>
      <c r="B76" s="528" t="s">
        <v>2573</v>
      </c>
      <c r="C76" s="573" t="s">
        <v>2574</v>
      </c>
      <c r="D76" s="573" t="s">
        <v>2575</v>
      </c>
      <c r="E76" s="573" t="s">
        <v>2576</v>
      </c>
      <c r="F76" s="573" t="s">
        <v>2577</v>
      </c>
      <c r="G76" s="573" t="s">
        <v>2578</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2579</v>
      </c>
      <c r="C78" s="578" t="s">
        <v>2574</v>
      </c>
      <c r="D78" s="578" t="s">
        <v>2575</v>
      </c>
      <c r="E78" s="578" t="s">
        <v>2576</v>
      </c>
      <c r="F78" s="578" t="s">
        <v>2577</v>
      </c>
      <c r="G78" s="578" t="s">
        <v>2578</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2580</v>
      </c>
      <c r="C80" s="578" t="s">
        <v>2574</v>
      </c>
      <c r="D80" s="578" t="s">
        <v>2575</v>
      </c>
      <c r="E80" s="578" t="s">
        <v>2576</v>
      </c>
      <c r="F80" s="578" t="s">
        <v>2577</v>
      </c>
      <c r="G80" s="578" t="s">
        <v>2578</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2075</v>
      </c>
      <c r="C82" s="539" t="s">
        <v>2581</v>
      </c>
      <c r="D82" s="539" t="s">
        <v>2582</v>
      </c>
      <c r="E82" s="539" t="s">
        <v>2583</v>
      </c>
      <c r="F82" s="539" t="s">
        <v>2584</v>
      </c>
      <c r="G82" s="539" t="s">
        <v>2585</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2586</v>
      </c>
      <c r="C84" s="578" t="s">
        <v>2574</v>
      </c>
      <c r="D84" s="578" t="s">
        <v>2575</v>
      </c>
      <c r="E84" s="578" t="s">
        <v>2576</v>
      </c>
      <c r="F84" s="578" t="s">
        <v>2577</v>
      </c>
      <c r="G84" s="578" t="s">
        <v>2578</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2587</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2588</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2540</v>
      </c>
      <c r="B100" s="528" t="s">
        <v>2589</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2590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2591</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2592</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2593</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1973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2594</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2595</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2596</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2551</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2597</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2598</v>
      </c>
      <c r="C124" s="578" t="s">
        <v>2574</v>
      </c>
      <c r="D124" s="578" t="s">
        <v>2575</v>
      </c>
      <c r="E124" s="578" t="s">
        <v>2576</v>
      </c>
      <c r="F124" s="578" t="s">
        <v>2577</v>
      </c>
      <c r="G124" s="578" t="s">
        <v>2578</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2599</v>
      </c>
    </row>
    <row r="137" spans="1:17" ht="15">
      <c r="B137" s="2642" t="s">
        <v>2600</v>
      </c>
      <c r="C137" s="2643"/>
      <c r="D137" s="2643"/>
      <c r="E137" s="2643"/>
      <c r="F137" s="2643"/>
      <c r="G137" s="2644"/>
      <c r="H137" s="2645"/>
      <c r="I137" s="2646" t="s">
        <v>2601</v>
      </c>
      <c r="J137" s="2643"/>
      <c r="K137" s="2647"/>
    </row>
    <row r="138" spans="1:17" ht="15">
      <c r="B138" s="2648"/>
      <c r="C138" s="146" t="s">
        <v>2602</v>
      </c>
      <c r="D138" s="146" t="s">
        <v>2603</v>
      </c>
      <c r="E138" s="2649" t="s">
        <v>2604</v>
      </c>
      <c r="F138" s="2650" t="s">
        <v>2605</v>
      </c>
      <c r="G138" s="146" t="s">
        <v>2603</v>
      </c>
      <c r="H138" s="147" t="s">
        <v>2604</v>
      </c>
      <c r="I138" s="2651"/>
      <c r="J138" s="146" t="s">
        <v>2606</v>
      </c>
      <c r="K138" s="147" t="s">
        <v>2607</v>
      </c>
    </row>
    <row r="139" spans="1:17" ht="15">
      <c r="B139" s="1087">
        <v>6</v>
      </c>
      <c r="C139" s="1088">
        <v>96</v>
      </c>
      <c r="D139" s="2652" t="s">
        <v>2608</v>
      </c>
      <c r="E139" s="1089">
        <v>100</v>
      </c>
      <c r="F139" s="1090">
        <v>102.5</v>
      </c>
      <c r="G139" s="2652" t="s">
        <v>2608</v>
      </c>
      <c r="H139" s="1091">
        <v>105</v>
      </c>
      <c r="I139" s="2653" t="s">
        <v>2609</v>
      </c>
      <c r="J139" s="1088">
        <v>20</v>
      </c>
      <c r="K139" s="1092">
        <f>C145/(J139-2)</f>
        <v>4.0555555555555553E-3</v>
      </c>
    </row>
    <row r="140" spans="1:17" ht="15">
      <c r="B140" s="1093">
        <v>5</v>
      </c>
      <c r="C140" s="1094">
        <v>100</v>
      </c>
      <c r="D140" s="1094"/>
      <c r="E140" s="1095"/>
      <c r="F140" s="1096">
        <v>102</v>
      </c>
      <c r="G140" s="1094"/>
      <c r="H140" s="1097"/>
      <c r="I140" s="2654" t="s">
        <v>2610</v>
      </c>
      <c r="J140" s="315">
        <f>ROUNDUP((J139-1)/2,0)</f>
        <v>10</v>
      </c>
      <c r="K140" s="1098">
        <v>100</v>
      </c>
    </row>
    <row r="141" spans="1:17" ht="15">
      <c r="B141" s="1093">
        <v>4</v>
      </c>
      <c r="C141" s="1094">
        <v>102</v>
      </c>
      <c r="D141" s="1094"/>
      <c r="E141" s="1095"/>
      <c r="F141" s="1096">
        <v>101.5</v>
      </c>
      <c r="G141" s="1094"/>
      <c r="H141" s="1097"/>
      <c r="I141" s="2654" t="s">
        <v>2611</v>
      </c>
      <c r="J141" s="315">
        <v>1</v>
      </c>
      <c r="K141" s="1099">
        <f>ROUND(100+(J141-J140)*K139*100,1)</f>
        <v>96.4</v>
      </c>
    </row>
    <row r="142" spans="1:17" ht="15">
      <c r="B142" s="1093">
        <v>3</v>
      </c>
      <c r="C142" s="1094">
        <v>103</v>
      </c>
      <c r="D142" s="1094"/>
      <c r="E142" s="1095"/>
      <c r="F142" s="1096">
        <v>101</v>
      </c>
      <c r="G142" s="1094"/>
      <c r="H142" s="1097"/>
      <c r="I142" s="2654" t="s">
        <v>2612</v>
      </c>
      <c r="J142" s="315">
        <f>J139</f>
        <v>20</v>
      </c>
      <c r="K142" s="1100">
        <v>95</v>
      </c>
    </row>
    <row r="143" spans="1:17" ht="15">
      <c r="B143" s="1093">
        <v>2</v>
      </c>
      <c r="C143" s="1094">
        <v>100</v>
      </c>
      <c r="D143" s="1094"/>
      <c r="E143" s="1095"/>
      <c r="F143" s="1096">
        <v>100.5</v>
      </c>
      <c r="G143" s="1094"/>
      <c r="H143" s="1097"/>
      <c r="I143" s="2654" t="s">
        <v>2613</v>
      </c>
      <c r="J143" s="1094">
        <v>15</v>
      </c>
      <c r="K143" s="1099">
        <f>ROUND(100+(J143-J140)*K139*100,1)</f>
        <v>102</v>
      </c>
    </row>
    <row r="144" spans="1:17" ht="15">
      <c r="B144" s="1093">
        <v>1</v>
      </c>
      <c r="C144" s="1094">
        <v>98</v>
      </c>
      <c r="D144" s="2655" t="s">
        <v>2614</v>
      </c>
      <c r="E144" s="1095">
        <v>102</v>
      </c>
      <c r="F144" s="1101">
        <v>100</v>
      </c>
      <c r="G144" s="2655" t="s">
        <v>2614</v>
      </c>
      <c r="H144" s="1097">
        <v>105</v>
      </c>
      <c r="I144" s="2654" t="s">
        <v>2613</v>
      </c>
      <c r="J144" s="1094">
        <v>18</v>
      </c>
      <c r="K144" s="1099">
        <f>ROUND(100+(J144-J140)*K139*100,1)</f>
        <v>103.2</v>
      </c>
    </row>
    <row r="145" spans="2:11" ht="15.75" thickBot="1">
      <c r="B145" s="2656" t="s">
        <v>2615</v>
      </c>
      <c r="C145" s="1102">
        <f>ROUND(MAX(C139:C144)/MIN(C139:C144)-1,3)</f>
        <v>7.2999999999999995E-2</v>
      </c>
      <c r="D145" s="1103"/>
      <c r="E145" s="1103"/>
      <c r="F145" s="2657" t="s">
        <v>2616</v>
      </c>
      <c r="G145" s="2658"/>
      <c r="H145" s="2659"/>
      <c r="I145" s="2660" t="s">
        <v>2613</v>
      </c>
      <c r="J145" s="1104">
        <v>8</v>
      </c>
      <c r="K145" s="1105">
        <f>ROUND(100+(J145-J140)*K139*100,1)</f>
        <v>99.2</v>
      </c>
    </row>
    <row r="147" spans="2:11">
      <c r="B147" s="2641" t="s">
        <v>2617</v>
      </c>
    </row>
    <row r="148" spans="2:11">
      <c r="B148" s="2641" t="s">
        <v>2618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2505</v>
      </c>
      <c r="B1" s="2586" t="s">
        <v>2619</v>
      </c>
      <c r="C1" s="1637" t="s">
        <v>2507</v>
      </c>
      <c r="D1" s="1624"/>
      <c r="E1" s="2661"/>
      <c r="F1" s="2588"/>
      <c r="G1" s="1634" t="s">
        <v>2620</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2304</v>
      </c>
      <c r="B2" s="1421" t="e">
        <f ca="1">IF(C2="——",ROUND(C49*D3/10000,0),ROUND(C49*D3/10000,0)-D2)</f>
        <v>#DIV/0!</v>
      </c>
      <c r="C2" s="2590"/>
      <c r="D2" s="1368" t="e">
        <f ca="1">SUMIF(INDIRECT("'"&amp;F2&amp;"'"&amp;"!A:A"),"承租人权益价值",INDIRECT("'"&amp;F2&amp;"'"&amp;"!c:c"))</f>
        <v>#REF!</v>
      </c>
      <c r="E2" s="2591" t="s">
        <v>2305</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2306</v>
      </c>
      <c r="B3" s="609" t="e">
        <f ca="1">IF(C2="——",C49,ROUND(B2*10000/D3,0))</f>
        <v>#DIV/0!</v>
      </c>
      <c r="C3" s="400" t="s">
        <v>2621</v>
      </c>
      <c r="D3" s="399">
        <f>IF(D1="",'数据-汇总表'!E3,SUMIF('数据-汇总表'!$C19:$C33,D1,'数据-汇总表'!$E19:$E33))</f>
        <v>16346.349999999999</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2622</v>
      </c>
      <c r="B4" s="402"/>
      <c r="C4" s="3186" t="s">
        <v>2623</v>
      </c>
      <c r="D4" s="3187"/>
      <c r="E4" s="3188" t="s">
        <v>2624</v>
      </c>
      <c r="F4" s="3189"/>
      <c r="G4" s="3186" t="s">
        <v>2625</v>
      </c>
      <c r="H4" s="3187"/>
      <c r="I4" s="3186" t="s">
        <v>2626</v>
      </c>
      <c r="J4" s="3187"/>
      <c r="K4" s="610" t="s">
        <v>2627</v>
      </c>
      <c r="L4" s="1133"/>
      <c r="M4" s="1134"/>
      <c r="N4" s="1134"/>
      <c r="O4" s="1134"/>
      <c r="P4" s="3190" t="s">
        <v>2628</v>
      </c>
      <c r="Q4" s="3191"/>
      <c r="R4" s="3196" t="s">
        <v>2624</v>
      </c>
      <c r="S4" s="3197"/>
      <c r="T4" s="3196" t="s">
        <v>2625</v>
      </c>
      <c r="U4" s="3197"/>
      <c r="V4" s="3202" t="s">
        <v>2626</v>
      </c>
      <c r="W4" s="3202"/>
      <c r="X4" s="1816"/>
      <c r="Y4" s="3196" t="s">
        <v>2628</v>
      </c>
      <c r="Z4" s="3197"/>
      <c r="AA4" s="3183" t="s">
        <v>2624</v>
      </c>
      <c r="AB4" s="3202" t="s">
        <v>2625</v>
      </c>
      <c r="AC4" s="3183" t="s">
        <v>2626</v>
      </c>
    </row>
    <row r="5" spans="1:29" ht="15">
      <c r="A5" s="404"/>
      <c r="B5" s="405"/>
      <c r="C5" s="3205" t="s">
        <v>2519</v>
      </c>
      <c r="D5" s="3206"/>
      <c r="E5" s="3212" t="s">
        <v>2520</v>
      </c>
      <c r="F5" s="3213"/>
      <c r="G5" s="3205" t="s">
        <v>2521</v>
      </c>
      <c r="H5" s="3206"/>
      <c r="I5" s="3205" t="s">
        <v>2522</v>
      </c>
      <c r="J5" s="3206"/>
      <c r="K5" s="610"/>
      <c r="L5" s="1133"/>
      <c r="M5" s="1134"/>
      <c r="N5" s="1134"/>
      <c r="O5" s="1134"/>
      <c r="P5" s="3192"/>
      <c r="Q5" s="3193"/>
      <c r="R5" s="3198"/>
      <c r="S5" s="3199"/>
      <c r="T5" s="3198"/>
      <c r="U5" s="3199"/>
      <c r="V5" s="3202"/>
      <c r="W5" s="3202"/>
      <c r="X5" s="1816"/>
      <c r="Y5" s="3198"/>
      <c r="Z5" s="3199"/>
      <c r="AA5" s="3184"/>
      <c r="AB5" s="3202"/>
      <c r="AC5" s="3184"/>
    </row>
    <row r="6" spans="1:29" ht="15.75" thickBot="1">
      <c r="A6" s="406"/>
      <c r="B6" s="407"/>
      <c r="C6" s="3203" t="s">
        <v>2523</v>
      </c>
      <c r="D6" s="3204"/>
      <c r="E6" s="3210" t="s">
        <v>2523</v>
      </c>
      <c r="F6" s="3211"/>
      <c r="G6" s="3203" t="s">
        <v>2523</v>
      </c>
      <c r="H6" s="3204"/>
      <c r="I6" s="3203" t="s">
        <v>2523</v>
      </c>
      <c r="J6" s="3204"/>
      <c r="K6" s="610" t="s">
        <v>2524</v>
      </c>
      <c r="L6" s="1133"/>
      <c r="M6" s="1134"/>
      <c r="N6" s="1134"/>
      <c r="O6" s="1134"/>
      <c r="P6" s="3194"/>
      <c r="Q6" s="3195"/>
      <c r="R6" s="3198"/>
      <c r="S6" s="3199"/>
      <c r="T6" s="3200"/>
      <c r="U6" s="3201"/>
      <c r="V6" s="3202"/>
      <c r="W6" s="3202"/>
      <c r="X6" s="1816"/>
      <c r="Y6" s="3200"/>
      <c r="Z6" s="3201"/>
      <c r="AA6" s="3185"/>
      <c r="AB6" s="3202"/>
      <c r="AC6" s="3185"/>
    </row>
    <row r="7" spans="1:29" s="117" customFormat="1" ht="15.75" thickBot="1">
      <c r="A7" s="408" t="s">
        <v>2525</v>
      </c>
      <c r="B7" s="409"/>
      <c r="C7" s="410">
        <f>'数据-取费表'!B2</f>
        <v>43200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7" t="s">
        <v>2526</v>
      </c>
      <c r="Q7" s="3209"/>
      <c r="R7" s="770" t="s">
        <v>17</v>
      </c>
      <c r="S7" s="771">
        <f t="shared" ref="S7:S15" si="0">F7</f>
        <v>0</v>
      </c>
      <c r="T7" s="770" t="s">
        <v>17</v>
      </c>
      <c r="U7" s="771">
        <f t="shared" ref="U7:U15" si="1">H7</f>
        <v>0</v>
      </c>
      <c r="V7" s="770" t="s">
        <v>17</v>
      </c>
      <c r="W7" s="771">
        <f t="shared" ref="W7:W15" si="2">J7</f>
        <v>0</v>
      </c>
      <c r="X7" s="772"/>
      <c r="Y7" s="3207" t="s">
        <v>2526</v>
      </c>
      <c r="Z7" s="3208"/>
      <c r="AA7" s="773" t="e">
        <f>D7/F7</f>
        <v>#DIV/0!</v>
      </c>
      <c r="AB7" s="773" t="e">
        <f>D7/H7</f>
        <v>#DIV/0!</v>
      </c>
      <c r="AC7" s="773" t="e">
        <f>D7/J7</f>
        <v>#DIV/0!</v>
      </c>
    </row>
    <row r="8" spans="1:29" s="117" customFormat="1" ht="15.75" thickBot="1">
      <c r="A8" s="408" t="s">
        <v>2527</v>
      </c>
      <c r="B8" s="409"/>
      <c r="C8" s="414" t="s">
        <v>2629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7" t="s">
        <v>2529</v>
      </c>
      <c r="Q8" s="3208"/>
      <c r="R8" s="770" t="s">
        <v>17</v>
      </c>
      <c r="S8" s="771">
        <f t="shared" si="0"/>
        <v>0</v>
      </c>
      <c r="T8" s="770" t="s">
        <v>17</v>
      </c>
      <c r="U8" s="771">
        <f t="shared" si="1"/>
        <v>0</v>
      </c>
      <c r="V8" s="770" t="s">
        <v>17</v>
      </c>
      <c r="W8" s="771">
        <f t="shared" si="2"/>
        <v>0</v>
      </c>
      <c r="X8" s="772"/>
      <c r="Y8" s="3207" t="s">
        <v>2529</v>
      </c>
      <c r="Z8" s="3208"/>
      <c r="AA8" s="773" t="e">
        <f t="shared" ref="AA8:AA46" si="3">D8/F8</f>
        <v>#DIV/0!</v>
      </c>
      <c r="AB8" s="773" t="e">
        <f t="shared" ref="AB8:AB46" si="4">D8/H8</f>
        <v>#DIV/0!</v>
      </c>
      <c r="AC8" s="773" t="e">
        <f t="shared" ref="AC8:AC46" si="5">D8/J8</f>
        <v>#DIV/0!</v>
      </c>
    </row>
    <row r="9" spans="1:29" s="117" customFormat="1">
      <c r="A9" s="415" t="s">
        <v>2530</v>
      </c>
      <c r="B9" s="71" t="s">
        <v>2531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2" t="s">
        <v>2532</v>
      </c>
      <c r="Q9" s="1798" t="str">
        <f t="shared" ref="Q9:Q15" si="6">B9</f>
        <v>用途</v>
      </c>
      <c r="R9" s="770" t="s">
        <v>17</v>
      </c>
      <c r="S9" s="771">
        <f t="shared" si="0"/>
        <v>100</v>
      </c>
      <c r="T9" s="770" t="s">
        <v>17</v>
      </c>
      <c r="U9" s="771">
        <f t="shared" si="1"/>
        <v>100</v>
      </c>
      <c r="V9" s="770" t="s">
        <v>17</v>
      </c>
      <c r="W9" s="771">
        <f t="shared" si="2"/>
        <v>100</v>
      </c>
      <c r="X9" s="772"/>
      <c r="Y9" s="2996" t="s">
        <v>2533</v>
      </c>
      <c r="Z9" s="55" t="str">
        <f t="shared" ref="Z9:Z15" si="7">Q9</f>
        <v>用途</v>
      </c>
      <c r="AA9" s="773">
        <f t="shared" si="3"/>
        <v>1</v>
      </c>
      <c r="AB9" s="773">
        <f t="shared" si="4"/>
        <v>1</v>
      </c>
      <c r="AC9" s="773">
        <f t="shared" si="5"/>
        <v>1</v>
      </c>
    </row>
    <row r="10" spans="1:29" s="427" customFormat="1" ht="27">
      <c r="A10" s="421"/>
      <c r="B10" s="422" t="s">
        <v>2534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2535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2"/>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2"/>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2"/>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2"/>
      <c r="Q14" s="1798">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71.25">
      <c r="A15" s="440" t="s">
        <v>2536</v>
      </c>
      <c r="B15" s="69" t="s">
        <v>2630</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80" t="s">
        <v>2537</v>
      </c>
      <c r="Q15" s="1813" t="str">
        <f t="shared" si="6"/>
        <v>商业繁华度</v>
      </c>
      <c r="R15" s="774" t="s">
        <v>17</v>
      </c>
      <c r="S15" s="775">
        <f t="shared" si="0"/>
        <v>100</v>
      </c>
      <c r="T15" s="774" t="s">
        <v>17</v>
      </c>
      <c r="U15" s="775">
        <f t="shared" si="1"/>
        <v>100</v>
      </c>
      <c r="V15" s="774" t="s">
        <v>17</v>
      </c>
      <c r="W15" s="775">
        <f t="shared" si="2"/>
        <v>100</v>
      </c>
      <c r="X15" s="1816"/>
      <c r="Y15" s="3173" t="s">
        <v>2537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81"/>
      <c r="Q16" s="1813"/>
      <c r="R16" s="774"/>
      <c r="S16" s="775"/>
      <c r="T16" s="774"/>
      <c r="U16" s="775"/>
      <c r="V16" s="774"/>
      <c r="W16" s="775"/>
      <c r="X16" s="1816"/>
      <c r="Y16" s="3174"/>
      <c r="Z16" s="1817"/>
      <c r="AA16" s="1814">
        <v>1</v>
      </c>
      <c r="AB16" s="1814">
        <v>1</v>
      </c>
      <c r="AC16" s="1814">
        <v>1</v>
      </c>
    </row>
    <row r="17" spans="1:29" ht="85.5">
      <c r="A17" s="428"/>
      <c r="B17" s="451" t="s">
        <v>2074</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81"/>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181"/>
      <c r="Q18" s="1813"/>
      <c r="R18" s="774"/>
      <c r="S18" s="775"/>
      <c r="T18" s="774"/>
      <c r="U18" s="775"/>
      <c r="V18" s="774"/>
      <c r="W18" s="775"/>
      <c r="X18" s="1816"/>
      <c r="Y18" s="3174"/>
      <c r="Z18" s="1817"/>
      <c r="AA18" s="1814">
        <v>1</v>
      </c>
      <c r="AB18" s="1814">
        <v>1</v>
      </c>
      <c r="AC18" s="1814">
        <v>1</v>
      </c>
    </row>
    <row r="19" spans="1:29" ht="42.75">
      <c r="A19" s="428"/>
      <c r="B19" s="451" t="s">
        <v>2631</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81"/>
      <c r="Q19" s="1813" t="str">
        <f>B19</f>
        <v>公共配套设施</v>
      </c>
      <c r="R19" s="774" t="s">
        <v>17</v>
      </c>
      <c r="S19" s="775">
        <f>F19</f>
        <v>100</v>
      </c>
      <c r="T19" s="774" t="s">
        <v>17</v>
      </c>
      <c r="U19" s="775">
        <f>H19</f>
        <v>100</v>
      </c>
      <c r="V19" s="774" t="s">
        <v>17</v>
      </c>
      <c r="W19" s="775">
        <f>J19</f>
        <v>100</v>
      </c>
      <c r="X19" s="1816"/>
      <c r="Y19" s="3174"/>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181"/>
      <c r="Q20" s="1813"/>
      <c r="R20" s="774"/>
      <c r="S20" s="775"/>
      <c r="T20" s="774"/>
      <c r="U20" s="775"/>
      <c r="V20" s="774"/>
      <c r="W20" s="775"/>
      <c r="X20" s="1816"/>
      <c r="Y20" s="3174"/>
      <c r="Z20" s="1817"/>
      <c r="AA20" s="1814">
        <v>1</v>
      </c>
      <c r="AB20" s="1814">
        <v>1</v>
      </c>
      <c r="AC20" s="1814">
        <v>1</v>
      </c>
    </row>
    <row r="21" spans="1:29" ht="28.5">
      <c r="A21" s="428"/>
      <c r="B21" s="1387" t="s">
        <v>2632</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81"/>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181"/>
      <c r="Q22" s="1813"/>
      <c r="R22" s="774"/>
      <c r="S22" s="775"/>
      <c r="T22" s="774"/>
      <c r="U22" s="775"/>
      <c r="V22" s="774"/>
      <c r="W22" s="775"/>
      <c r="X22" s="1816"/>
      <c r="Y22" s="3174"/>
      <c r="Z22" s="1817"/>
      <c r="AA22" s="1814">
        <v>1</v>
      </c>
      <c r="AB22" s="1814">
        <v>1</v>
      </c>
      <c r="AC22" s="1814">
        <v>1</v>
      </c>
    </row>
    <row r="23" spans="1:29" ht="57">
      <c r="A23" s="428"/>
      <c r="B23" s="451" t="s">
        <v>2078</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81"/>
      <c r="Q23" s="1813" t="str">
        <f>B23</f>
        <v>自然及人文环境</v>
      </c>
      <c r="R23" s="774" t="s">
        <v>17</v>
      </c>
      <c r="S23" s="775">
        <f>F23</f>
        <v>100</v>
      </c>
      <c r="T23" s="774" t="s">
        <v>17</v>
      </c>
      <c r="U23" s="775">
        <f>H23</f>
        <v>100</v>
      </c>
      <c r="V23" s="774" t="s">
        <v>17</v>
      </c>
      <c r="W23" s="775">
        <f>J23</f>
        <v>100</v>
      </c>
      <c r="X23" s="1816"/>
      <c r="Y23" s="3174"/>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181"/>
      <c r="Q24" s="1813"/>
      <c r="R24" s="774"/>
      <c r="S24" s="775"/>
      <c r="T24" s="774"/>
      <c r="U24" s="775"/>
      <c r="V24" s="774"/>
      <c r="W24" s="775"/>
      <c r="X24" s="1816"/>
      <c r="Y24" s="3174"/>
      <c r="Z24" s="1817"/>
      <c r="AA24" s="1814">
        <v>1</v>
      </c>
      <c r="AB24" s="1814">
        <v>1</v>
      </c>
      <c r="AC24" s="1814">
        <v>1</v>
      </c>
    </row>
    <row r="25" spans="1:29" ht="15">
      <c r="A25" s="428"/>
      <c r="B25" s="422" t="s">
        <v>2633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81"/>
      <c r="Q25" s="1813" t="str">
        <f t="shared" ref="Q25:Q46" si="11">B25</f>
        <v>临街状况</v>
      </c>
      <c r="R25" s="774" t="s">
        <v>17</v>
      </c>
      <c r="S25" s="775">
        <f>F25</f>
        <v>100</v>
      </c>
      <c r="T25" s="774" t="s">
        <v>17</v>
      </c>
      <c r="U25" s="775">
        <f>H25</f>
        <v>100</v>
      </c>
      <c r="V25" s="774" t="s">
        <v>17</v>
      </c>
      <c r="W25" s="775">
        <f>J25</f>
        <v>100</v>
      </c>
      <c r="X25" s="1816"/>
      <c r="Y25" s="3174"/>
      <c r="Z25" s="1817" t="str">
        <f>Q25</f>
        <v>临街状况</v>
      </c>
      <c r="AA25" s="1814">
        <f t="shared" si="3"/>
        <v>1</v>
      </c>
      <c r="AB25" s="1814">
        <f t="shared" si="4"/>
        <v>1</v>
      </c>
      <c r="AC25" s="1814">
        <f t="shared" si="5"/>
        <v>1</v>
      </c>
    </row>
    <row r="26" spans="1:29" ht="15">
      <c r="A26" s="428"/>
      <c r="B26" s="1389" t="s">
        <v>2634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81"/>
      <c r="Q26" s="1813" t="str">
        <f t="shared" si="11"/>
        <v>平面位置/可视性</v>
      </c>
      <c r="R26" s="774" t="s">
        <v>17</v>
      </c>
      <c r="S26" s="775">
        <f>F26</f>
        <v>100</v>
      </c>
      <c r="T26" s="774" t="s">
        <v>17</v>
      </c>
      <c r="U26" s="775">
        <f>H26</f>
        <v>100</v>
      </c>
      <c r="V26" s="774" t="s">
        <v>17</v>
      </c>
      <c r="W26" s="775">
        <f>J26</f>
        <v>100</v>
      </c>
      <c r="X26" s="1816"/>
      <c r="Y26" s="3174"/>
      <c r="Z26" s="1817" t="str">
        <f>Q26</f>
        <v>平面位置/可视性</v>
      </c>
      <c r="AA26" s="1814">
        <f t="shared" si="3"/>
        <v>1</v>
      </c>
      <c r="AB26" s="1814">
        <f t="shared" si="4"/>
        <v>1</v>
      </c>
      <c r="AC26" s="1814">
        <f t="shared" si="5"/>
        <v>1</v>
      </c>
    </row>
    <row r="27" spans="1:29" s="117" customFormat="1" ht="15">
      <c r="A27" s="431"/>
      <c r="B27" s="451" t="s">
        <v>2635</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181"/>
      <c r="Q27" s="1798" t="str">
        <f t="shared" si="11"/>
        <v>人流量</v>
      </c>
      <c r="R27" s="770" t="s">
        <v>17</v>
      </c>
      <c r="S27" s="771">
        <f>F27</f>
        <v>100</v>
      </c>
      <c r="T27" s="770" t="s">
        <v>17</v>
      </c>
      <c r="U27" s="771">
        <f>H27</f>
        <v>100</v>
      </c>
      <c r="V27" s="770" t="s">
        <v>17</v>
      </c>
      <c r="W27" s="771">
        <f>J27</f>
        <v>100</v>
      </c>
      <c r="X27" s="772"/>
      <c r="Y27" s="3174"/>
      <c r="Z27" s="55" t="str">
        <f>Q27</f>
        <v>人流量</v>
      </c>
      <c r="AA27" s="1814">
        <f>D27/F27</f>
        <v>1</v>
      </c>
      <c r="AB27" s="1814">
        <f>D27/H27</f>
        <v>1</v>
      </c>
      <c r="AC27" s="1814">
        <f>D27/J27</f>
        <v>1</v>
      </c>
    </row>
    <row r="28" spans="1:29" ht="15">
      <c r="A28" s="428"/>
      <c r="B28" s="422" t="s">
        <v>2636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8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81"/>
      <c r="Q29" s="1813">
        <f t="shared" si="11"/>
        <v>111</v>
      </c>
      <c r="R29" s="774" t="s">
        <v>17</v>
      </c>
      <c r="S29" s="775">
        <f t="shared" si="12"/>
        <v>100</v>
      </c>
      <c r="T29" s="774" t="s">
        <v>17</v>
      </c>
      <c r="U29" s="775">
        <f t="shared" si="13"/>
        <v>100</v>
      </c>
      <c r="V29" s="774" t="s">
        <v>17</v>
      </c>
      <c r="W29" s="775">
        <f t="shared" si="14"/>
        <v>100</v>
      </c>
      <c r="X29" s="1816"/>
      <c r="Y29" s="317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81"/>
      <c r="Q30" s="1813">
        <f t="shared" si="11"/>
        <v>111</v>
      </c>
      <c r="R30" s="774" t="s">
        <v>17</v>
      </c>
      <c r="S30" s="775">
        <f t="shared" si="12"/>
        <v>100</v>
      </c>
      <c r="T30" s="774" t="s">
        <v>17</v>
      </c>
      <c r="U30" s="775">
        <f t="shared" si="13"/>
        <v>100</v>
      </c>
      <c r="V30" s="774" t="s">
        <v>17</v>
      </c>
      <c r="W30" s="775">
        <f t="shared" si="14"/>
        <v>100</v>
      </c>
      <c r="X30" s="1816"/>
      <c r="Y30" s="317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81"/>
      <c r="Q31" s="1813">
        <f t="shared" si="11"/>
        <v>111</v>
      </c>
      <c r="R31" s="774" t="s">
        <v>17</v>
      </c>
      <c r="S31" s="775">
        <f t="shared" si="12"/>
        <v>100</v>
      </c>
      <c r="T31" s="774" t="s">
        <v>17</v>
      </c>
      <c r="U31" s="775">
        <f t="shared" si="13"/>
        <v>100</v>
      </c>
      <c r="V31" s="774" t="s">
        <v>17</v>
      </c>
      <c r="W31" s="775">
        <f t="shared" si="14"/>
        <v>100</v>
      </c>
      <c r="X31" s="1816"/>
      <c r="Y31" s="3174"/>
      <c r="Z31" s="1817">
        <f t="shared" si="15"/>
        <v>111</v>
      </c>
      <c r="AA31" s="1814">
        <f t="shared" si="3"/>
        <v>1</v>
      </c>
      <c r="AB31" s="1814">
        <f t="shared" si="4"/>
        <v>1</v>
      </c>
      <c r="AC31" s="1814">
        <f t="shared" si="5"/>
        <v>1</v>
      </c>
    </row>
    <row r="32" spans="1:29" ht="15">
      <c r="A32" s="440" t="s">
        <v>2540</v>
      </c>
      <c r="B32" s="71" t="s">
        <v>2637</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175" t="s">
        <v>2542</v>
      </c>
      <c r="Q32" s="1813" t="str">
        <f t="shared" si="11"/>
        <v>商业类型</v>
      </c>
      <c r="R32" s="774" t="s">
        <v>17</v>
      </c>
      <c r="S32" s="775">
        <f t="shared" si="12"/>
        <v>100</v>
      </c>
      <c r="T32" s="774" t="s">
        <v>17</v>
      </c>
      <c r="U32" s="775">
        <f t="shared" si="13"/>
        <v>100</v>
      </c>
      <c r="V32" s="774" t="s">
        <v>17</v>
      </c>
      <c r="W32" s="775">
        <f t="shared" si="14"/>
        <v>100</v>
      </c>
      <c r="X32" s="1816"/>
      <c r="Y32" s="3178" t="s">
        <v>2542</v>
      </c>
      <c r="Z32" s="1817" t="str">
        <f t="shared" si="15"/>
        <v>商业类型</v>
      </c>
      <c r="AA32" s="1814">
        <f t="shared" si="3"/>
        <v>1</v>
      </c>
      <c r="AB32" s="1814">
        <f t="shared" si="4"/>
        <v>1</v>
      </c>
      <c r="AC32" s="1814">
        <f t="shared" si="5"/>
        <v>1</v>
      </c>
    </row>
    <row r="33" spans="1:29" s="471" customFormat="1" ht="15">
      <c r="A33" s="468"/>
      <c r="B33" s="422" t="s">
        <v>2543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76"/>
      <c r="Q33" s="776" t="str">
        <f t="shared" si="11"/>
        <v>项目建筑规模</v>
      </c>
      <c r="R33" s="777" t="s">
        <v>17</v>
      </c>
      <c r="S33" s="778" t="e">
        <f t="shared" si="12"/>
        <v>#N/A</v>
      </c>
      <c r="T33" s="777" t="s">
        <v>17</v>
      </c>
      <c r="U33" s="778" t="e">
        <f t="shared" si="13"/>
        <v>#N/A</v>
      </c>
      <c r="V33" s="777" t="s">
        <v>17</v>
      </c>
      <c r="W33" s="778" t="e">
        <f t="shared" si="14"/>
        <v>#N/A</v>
      </c>
      <c r="X33" s="779"/>
      <c r="Y33" s="3178"/>
      <c r="Z33" s="780" t="str">
        <f t="shared" si="15"/>
        <v>项目建筑规模</v>
      </c>
      <c r="AA33" s="1814" t="e">
        <f t="shared" si="3"/>
        <v>#N/A</v>
      </c>
      <c r="AB33" s="1814" t="e">
        <f t="shared" si="4"/>
        <v>#N/A</v>
      </c>
      <c r="AC33" s="1814" t="e">
        <f t="shared" si="5"/>
        <v>#N/A</v>
      </c>
    </row>
    <row r="34" spans="1:29" ht="15">
      <c r="A34" s="472"/>
      <c r="B34" s="422" t="s">
        <v>2544</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176"/>
      <c r="Q34" s="1813" t="str">
        <f t="shared" si="11"/>
        <v>建筑结构</v>
      </c>
      <c r="R34" s="774" t="s">
        <v>17</v>
      </c>
      <c r="S34" s="775">
        <f t="shared" si="12"/>
        <v>100</v>
      </c>
      <c r="T34" s="774" t="s">
        <v>17</v>
      </c>
      <c r="U34" s="775">
        <f t="shared" si="13"/>
        <v>100</v>
      </c>
      <c r="V34" s="774" t="s">
        <v>17</v>
      </c>
      <c r="W34" s="775">
        <f t="shared" si="14"/>
        <v>100</v>
      </c>
      <c r="X34" s="1816"/>
      <c r="Y34" s="3178"/>
      <c r="Z34" s="1817" t="str">
        <f t="shared" si="15"/>
        <v>建筑结构</v>
      </c>
      <c r="AA34" s="1814">
        <f t="shared" si="3"/>
        <v>1</v>
      </c>
      <c r="AB34" s="1814">
        <f t="shared" si="4"/>
        <v>1</v>
      </c>
      <c r="AC34" s="1814">
        <f t="shared" si="5"/>
        <v>1</v>
      </c>
    </row>
    <row r="35" spans="1:29" ht="15">
      <c r="A35" s="472"/>
      <c r="B35" s="422" t="s">
        <v>2638</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176"/>
      <c r="Q35" s="1813" t="str">
        <f t="shared" si="11"/>
        <v>公共部分装修</v>
      </c>
      <c r="R35" s="774" t="s">
        <v>17</v>
      </c>
      <c r="S35" s="775">
        <f t="shared" si="12"/>
        <v>100</v>
      </c>
      <c r="T35" s="774" t="s">
        <v>17</v>
      </c>
      <c r="U35" s="775">
        <f t="shared" si="13"/>
        <v>100</v>
      </c>
      <c r="V35" s="774" t="s">
        <v>17</v>
      </c>
      <c r="W35" s="775">
        <f t="shared" si="14"/>
        <v>100</v>
      </c>
      <c r="X35" s="1816"/>
      <c r="Y35" s="3178"/>
      <c r="Z35" s="1817" t="str">
        <f t="shared" si="15"/>
        <v>公共部分装修</v>
      </c>
      <c r="AA35" s="1814">
        <f t="shared" si="3"/>
        <v>1</v>
      </c>
      <c r="AB35" s="1814">
        <f t="shared" si="4"/>
        <v>1</v>
      </c>
      <c r="AC35" s="1814">
        <f t="shared" si="5"/>
        <v>1</v>
      </c>
    </row>
    <row r="36" spans="1:29" ht="15">
      <c r="A36" s="472"/>
      <c r="B36" s="422" t="s">
        <v>2639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76"/>
      <c r="Q36" s="1813" t="str">
        <f t="shared" si="11"/>
        <v>成新度</v>
      </c>
      <c r="R36" s="774" t="s">
        <v>17</v>
      </c>
      <c r="S36" s="775" t="e">
        <f t="shared" si="12"/>
        <v>#N/A</v>
      </c>
      <c r="T36" s="774" t="s">
        <v>17</v>
      </c>
      <c r="U36" s="775" t="e">
        <f t="shared" si="13"/>
        <v>#N/A</v>
      </c>
      <c r="V36" s="774" t="s">
        <v>17</v>
      </c>
      <c r="W36" s="775" t="e">
        <f t="shared" si="14"/>
        <v>#N/A</v>
      </c>
      <c r="X36" s="1816"/>
      <c r="Y36" s="3178"/>
      <c r="Z36" s="1817" t="str">
        <f t="shared" si="15"/>
        <v>成新度</v>
      </c>
      <c r="AA36" s="1814" t="e">
        <f t="shared" si="3"/>
        <v>#N/A</v>
      </c>
      <c r="AB36" s="1814" t="e">
        <f t="shared" si="4"/>
        <v>#N/A</v>
      </c>
      <c r="AC36" s="1814" t="e">
        <f t="shared" si="5"/>
        <v>#N/A</v>
      </c>
    </row>
    <row r="37" spans="1:29" s="117" customFormat="1" ht="15">
      <c r="A37" s="473"/>
      <c r="B37" s="422" t="s">
        <v>2640</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176"/>
      <c r="Q37" s="1798" t="str">
        <f t="shared" si="11"/>
        <v>市政基础设施</v>
      </c>
      <c r="R37" s="770" t="s">
        <v>17</v>
      </c>
      <c r="S37" s="771">
        <f t="shared" si="12"/>
        <v>100</v>
      </c>
      <c r="T37" s="770" t="s">
        <v>17</v>
      </c>
      <c r="U37" s="771">
        <f t="shared" si="13"/>
        <v>100</v>
      </c>
      <c r="V37" s="770" t="s">
        <v>17</v>
      </c>
      <c r="W37" s="771">
        <f t="shared" si="14"/>
        <v>100</v>
      </c>
      <c r="X37" s="772"/>
      <c r="Y37" s="3178"/>
      <c r="Z37" s="55" t="str">
        <f t="shared" si="15"/>
        <v>市政基础设施</v>
      </c>
      <c r="AA37" s="773">
        <f t="shared" si="3"/>
        <v>1</v>
      </c>
      <c r="AB37" s="773">
        <f t="shared" si="4"/>
        <v>1</v>
      </c>
      <c r="AC37" s="773">
        <f t="shared" si="5"/>
        <v>1</v>
      </c>
    </row>
    <row r="38" spans="1:29" ht="15">
      <c r="A38" s="472"/>
      <c r="B38" s="422" t="s">
        <v>2641</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176" t="s">
        <v>2542</v>
      </c>
      <c r="Q38" s="1813" t="str">
        <f t="shared" si="11"/>
        <v>业态</v>
      </c>
      <c r="R38" s="774" t="s">
        <v>17</v>
      </c>
      <c r="S38" s="775">
        <f t="shared" si="12"/>
        <v>100</v>
      </c>
      <c r="T38" s="774" t="s">
        <v>17</v>
      </c>
      <c r="U38" s="775">
        <f t="shared" si="13"/>
        <v>100</v>
      </c>
      <c r="V38" s="774" t="s">
        <v>17</v>
      </c>
      <c r="W38" s="775">
        <f t="shared" si="14"/>
        <v>100</v>
      </c>
      <c r="X38" s="1816"/>
      <c r="Y38" s="3178" t="s">
        <v>2542</v>
      </c>
      <c r="Z38" s="1817" t="str">
        <f t="shared" si="15"/>
        <v>业态</v>
      </c>
      <c r="AA38" s="1814">
        <f t="shared" si="3"/>
        <v>1</v>
      </c>
      <c r="AB38" s="1814">
        <f t="shared" si="4"/>
        <v>1</v>
      </c>
      <c r="AC38" s="1814">
        <f t="shared" si="5"/>
        <v>1</v>
      </c>
    </row>
    <row r="39" spans="1:29" ht="15">
      <c r="A39" s="472"/>
      <c r="B39" s="422" t="s">
        <v>2642</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176"/>
      <c r="Q39" s="1813" t="str">
        <f t="shared" si="11"/>
        <v>层高</v>
      </c>
      <c r="R39" s="774" t="s">
        <v>17</v>
      </c>
      <c r="S39" s="775">
        <f t="shared" si="12"/>
        <v>100</v>
      </c>
      <c r="T39" s="774" t="s">
        <v>17</v>
      </c>
      <c r="U39" s="775">
        <f t="shared" si="13"/>
        <v>100</v>
      </c>
      <c r="V39" s="774" t="s">
        <v>17</v>
      </c>
      <c r="W39" s="775">
        <f t="shared" si="14"/>
        <v>100</v>
      </c>
      <c r="X39" s="1816"/>
      <c r="Y39" s="3178"/>
      <c r="Z39" s="1817" t="str">
        <f t="shared" si="15"/>
        <v>层高</v>
      </c>
      <c r="AA39" s="1814">
        <f t="shared" si="3"/>
        <v>1</v>
      </c>
      <c r="AB39" s="1814">
        <f t="shared" si="4"/>
        <v>1</v>
      </c>
      <c r="AC39" s="1814">
        <f t="shared" si="5"/>
        <v>1</v>
      </c>
    </row>
    <row r="40" spans="1:29" ht="15">
      <c r="A40" s="472"/>
      <c r="B40" s="422" t="s">
        <v>2643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76"/>
      <c r="Q40" s="1813" t="str">
        <f t="shared" si="11"/>
        <v>单套建筑面积</v>
      </c>
      <c r="R40" s="774" t="s">
        <v>17</v>
      </c>
      <c r="S40" s="775">
        <f t="shared" si="12"/>
        <v>100</v>
      </c>
      <c r="T40" s="774" t="s">
        <v>17</v>
      </c>
      <c r="U40" s="775">
        <f t="shared" si="13"/>
        <v>100</v>
      </c>
      <c r="V40" s="774" t="s">
        <v>17</v>
      </c>
      <c r="W40" s="775">
        <f t="shared" si="14"/>
        <v>100</v>
      </c>
      <c r="X40" s="1816"/>
      <c r="Y40" s="3178"/>
      <c r="Z40" s="1817" t="str">
        <f t="shared" si="15"/>
        <v>单套建筑面积</v>
      </c>
      <c r="AA40" s="1814">
        <f t="shared" si="3"/>
        <v>1</v>
      </c>
      <c r="AB40" s="1814">
        <f t="shared" si="4"/>
        <v>1</v>
      </c>
      <c r="AC40" s="1814">
        <f t="shared" si="5"/>
        <v>1</v>
      </c>
    </row>
    <row r="41" spans="1:29" s="471" customFormat="1" ht="15">
      <c r="A41" s="468"/>
      <c r="B41" s="1815" t="s">
        <v>2644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76"/>
      <c r="Q41" s="776" t="str">
        <f t="shared" si="11"/>
        <v>进深比</v>
      </c>
      <c r="R41" s="777" t="s">
        <v>17</v>
      </c>
      <c r="S41" s="778">
        <f t="shared" si="12"/>
        <v>100</v>
      </c>
      <c r="T41" s="777" t="s">
        <v>17</v>
      </c>
      <c r="U41" s="778">
        <f t="shared" si="13"/>
        <v>100</v>
      </c>
      <c r="V41" s="777" t="s">
        <v>17</v>
      </c>
      <c r="W41" s="778">
        <f t="shared" si="14"/>
        <v>100</v>
      </c>
      <c r="X41" s="779"/>
      <c r="Y41" s="3178"/>
      <c r="Z41" s="780" t="str">
        <f t="shared" si="15"/>
        <v>进深比</v>
      </c>
      <c r="AA41" s="1814">
        <f t="shared" si="3"/>
        <v>1</v>
      </c>
      <c r="AB41" s="1814">
        <f t="shared" si="4"/>
        <v>1</v>
      </c>
      <c r="AC41" s="1814">
        <f t="shared" si="5"/>
        <v>1</v>
      </c>
    </row>
    <row r="42" spans="1:29" ht="15">
      <c r="A42" s="472"/>
      <c r="B42" s="422" t="s">
        <v>2645</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176"/>
      <c r="Q42" s="1813" t="str">
        <f t="shared" si="11"/>
        <v>内部装修</v>
      </c>
      <c r="R42" s="774" t="s">
        <v>17</v>
      </c>
      <c r="S42" s="775">
        <f t="shared" si="12"/>
        <v>100</v>
      </c>
      <c r="T42" s="774" t="s">
        <v>17</v>
      </c>
      <c r="U42" s="775">
        <f t="shared" si="13"/>
        <v>100</v>
      </c>
      <c r="V42" s="774" t="s">
        <v>17</v>
      </c>
      <c r="W42" s="775">
        <f t="shared" si="14"/>
        <v>100</v>
      </c>
      <c r="X42" s="1816"/>
      <c r="Y42" s="3178"/>
      <c r="Z42" s="1817" t="str">
        <f t="shared" si="15"/>
        <v>内部装修</v>
      </c>
      <c r="AA42" s="1814">
        <f t="shared" si="3"/>
        <v>1</v>
      </c>
      <c r="AB42" s="1814">
        <f t="shared" si="4"/>
        <v>1</v>
      </c>
      <c r="AC42" s="1814">
        <f t="shared" si="5"/>
        <v>1</v>
      </c>
    </row>
    <row r="43" spans="1:29" ht="15">
      <c r="A43" s="472"/>
      <c r="B43" s="422" t="s">
        <v>2553</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176"/>
      <c r="Q43" s="1813" t="str">
        <f t="shared" si="11"/>
        <v>内部装修维护情况</v>
      </c>
      <c r="R43" s="774" t="s">
        <v>17</v>
      </c>
      <c r="S43" s="775">
        <f t="shared" si="12"/>
        <v>100</v>
      </c>
      <c r="T43" s="774" t="s">
        <v>17</v>
      </c>
      <c r="U43" s="775">
        <f t="shared" si="13"/>
        <v>100</v>
      </c>
      <c r="V43" s="774" t="s">
        <v>17</v>
      </c>
      <c r="W43" s="775">
        <f t="shared" si="14"/>
        <v>100</v>
      </c>
      <c r="X43" s="1816"/>
      <c r="Y43" s="317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76"/>
      <c r="Q44" s="1798">
        <f t="shared" si="11"/>
        <v>111</v>
      </c>
      <c r="R44" s="770" t="s">
        <v>17</v>
      </c>
      <c r="S44" s="771">
        <f t="shared" si="12"/>
        <v>100</v>
      </c>
      <c r="T44" s="770" t="s">
        <v>17</v>
      </c>
      <c r="U44" s="771">
        <f t="shared" si="13"/>
        <v>100</v>
      </c>
      <c r="V44" s="770" t="s">
        <v>17</v>
      </c>
      <c r="W44" s="771">
        <f t="shared" si="14"/>
        <v>100</v>
      </c>
      <c r="X44" s="772"/>
      <c r="Y44" s="317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76"/>
      <c r="Q45" s="1813">
        <f t="shared" si="11"/>
        <v>111</v>
      </c>
      <c r="R45" s="774" t="s">
        <v>17</v>
      </c>
      <c r="S45" s="775">
        <f t="shared" si="12"/>
        <v>100</v>
      </c>
      <c r="T45" s="774" t="s">
        <v>17</v>
      </c>
      <c r="U45" s="775">
        <f t="shared" si="13"/>
        <v>100</v>
      </c>
      <c r="V45" s="774" t="s">
        <v>17</v>
      </c>
      <c r="W45" s="775">
        <f t="shared" si="14"/>
        <v>100</v>
      </c>
      <c r="X45" s="1816"/>
      <c r="Y45" s="3178"/>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77"/>
      <c r="Q46" s="1813">
        <f t="shared" si="11"/>
        <v>111</v>
      </c>
      <c r="R46" s="774" t="s">
        <v>17</v>
      </c>
      <c r="S46" s="775">
        <f t="shared" si="12"/>
        <v>100</v>
      </c>
      <c r="T46" s="774" t="s">
        <v>17</v>
      </c>
      <c r="U46" s="775">
        <f t="shared" si="13"/>
        <v>100</v>
      </c>
      <c r="V46" s="774" t="s">
        <v>17</v>
      </c>
      <c r="W46" s="775">
        <f t="shared" si="14"/>
        <v>100</v>
      </c>
      <c r="X46" s="1816"/>
      <c r="Y46" s="3179"/>
      <c r="Z46" s="1817">
        <f t="shared" si="15"/>
        <v>111</v>
      </c>
      <c r="AA46" s="1814">
        <f t="shared" si="3"/>
        <v>1</v>
      </c>
      <c r="AB46" s="1814">
        <f t="shared" si="4"/>
        <v>1</v>
      </c>
      <c r="AC46" s="1814">
        <f t="shared" si="5"/>
        <v>1</v>
      </c>
    </row>
    <row r="47" spans="1:29" ht="15">
      <c r="A47" s="479" t="s">
        <v>2554</v>
      </c>
      <c r="B47" s="480"/>
      <c r="C47" s="1410" t="s">
        <v>1</v>
      </c>
      <c r="D47" s="1411"/>
      <c r="E47" s="1412"/>
      <c r="F47" s="1413"/>
      <c r="G47" s="1414"/>
      <c r="H47" s="1415"/>
      <c r="I47" s="1412"/>
      <c r="J47" s="1415"/>
      <c r="K47" s="783"/>
      <c r="L47" s="1146"/>
      <c r="M47" s="1147"/>
      <c r="N47" s="1134"/>
      <c r="O47" s="1147"/>
      <c r="P47" s="3171" t="str">
        <f>A47</f>
        <v>成交单价（元/平方米）</v>
      </c>
      <c r="Q47" s="3171"/>
      <c r="R47" s="3202">
        <f>E47</f>
        <v>0</v>
      </c>
      <c r="S47" s="3202"/>
      <c r="T47" s="3202">
        <f>G47</f>
        <v>0</v>
      </c>
      <c r="U47" s="3202"/>
      <c r="V47" s="3202">
        <f>I47</f>
        <v>0</v>
      </c>
      <c r="W47" s="3202"/>
      <c r="X47" s="759"/>
      <c r="Y47" s="781"/>
      <c r="Z47" s="759"/>
      <c r="AA47" s="759"/>
      <c r="AB47" s="759"/>
      <c r="AC47" s="759"/>
    </row>
    <row r="48" spans="1:29" ht="15.75" thickBot="1">
      <c r="A48" s="486" t="s">
        <v>2646</v>
      </c>
      <c r="B48" s="487"/>
      <c r="C48" s="1416" t="e">
        <f>R49</f>
        <v>#DIV/0!</v>
      </c>
      <c r="D48" s="1417"/>
      <c r="E48" s="1418" t="e">
        <f>R48</f>
        <v>#DIV/0!</v>
      </c>
      <c r="F48" s="1418"/>
      <c r="G48" s="1416" t="e">
        <f>T48</f>
        <v>#DIV/0!</v>
      </c>
      <c r="H48" s="1417"/>
      <c r="I48" s="1418" t="e">
        <f>V48</f>
        <v>#DIV/0!</v>
      </c>
      <c r="J48" s="1417"/>
      <c r="K48" s="784"/>
      <c r="L48" s="1146"/>
      <c r="M48" s="1147"/>
      <c r="N48" s="1134"/>
      <c r="O48" s="1147"/>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9"/>
      <c r="Y48" s="759"/>
      <c r="Z48" s="759"/>
      <c r="AA48" s="759"/>
      <c r="AB48" s="759"/>
      <c r="AC48" s="759"/>
    </row>
    <row r="49" spans="1:29" ht="15.75" thickBot="1">
      <c r="A49" s="492" t="s">
        <v>2647</v>
      </c>
      <c r="B49" s="493"/>
      <c r="C49" s="1420" t="e">
        <f>R49</f>
        <v>#DIV/0!</v>
      </c>
      <c r="D49" s="1420"/>
      <c r="E49" s="1420"/>
      <c r="F49" s="1420"/>
      <c r="G49" s="1420"/>
      <c r="H49" s="1420"/>
      <c r="I49" s="1420"/>
      <c r="J49" s="1420"/>
      <c r="K49" s="785"/>
      <c r="L49" s="1146"/>
      <c r="M49" s="1147"/>
      <c r="N49" s="1134"/>
      <c r="O49" s="1147"/>
      <c r="P49" s="3168" t="str">
        <f>A49</f>
        <v>估价对象XX用房的比较价值（楼面单价，元/平方米）</v>
      </c>
      <c r="Q49" s="3169"/>
      <c r="R49" s="3170" t="e">
        <f>IF(F1="售价",ROUND(AVERAGE(R48:V48),0),ROUND(AVERAGE(R48:V48),1))</f>
        <v>#DIV/0!</v>
      </c>
      <c r="S49" s="3170"/>
      <c r="T49" s="3170"/>
      <c r="U49" s="3170"/>
      <c r="V49" s="3170"/>
      <c r="W49" s="317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2648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2649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2650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2651</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2525</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2562</v>
      </c>
      <c r="B60" s="516"/>
      <c r="C60" s="517"/>
      <c r="D60" s="518"/>
      <c r="E60" s="518"/>
      <c r="F60" s="518"/>
      <c r="G60" s="518"/>
      <c r="H60" s="518"/>
      <c r="I60" s="518"/>
      <c r="J60" s="518"/>
      <c r="K60" s="518"/>
      <c r="L60" s="518"/>
      <c r="M60" s="519"/>
      <c r="N60" s="518"/>
      <c r="O60" s="519"/>
      <c r="P60" s="2632"/>
      <c r="Q60" s="504"/>
    </row>
    <row r="61" spans="1:29" s="117" customFormat="1" ht="15">
      <c r="A61" s="521" t="s">
        <v>2527</v>
      </c>
      <c r="B61" s="510"/>
      <c r="C61" s="522" t="s">
        <v>2629</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2565</v>
      </c>
      <c r="B63" s="528" t="s">
        <v>2531</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2534</v>
      </c>
      <c r="C65" s="539" t="s">
        <v>2566</v>
      </c>
      <c r="D65" s="539" t="s">
        <v>2567</v>
      </c>
      <c r="E65" s="539" t="s">
        <v>2568</v>
      </c>
      <c r="F65" s="539" t="s">
        <v>2569</v>
      </c>
      <c r="G65" s="539" t="s">
        <v>2570</v>
      </c>
      <c r="H65" s="539" t="s">
        <v>2571</v>
      </c>
      <c r="I65" s="539" t="s">
        <v>2572</v>
      </c>
      <c r="J65" s="539"/>
      <c r="K65" s="540"/>
      <c r="L65" s="541"/>
      <c r="M65" s="542"/>
      <c r="N65" s="1155"/>
      <c r="O65" s="1155"/>
      <c r="P65" s="2634"/>
      <c r="Q65" s="504"/>
    </row>
    <row r="66" spans="1:17" ht="15.75" thickBot="1">
      <c r="A66" s="534"/>
      <c r="B66" s="543"/>
      <c r="C66" s="544" t="s">
        <v>23</v>
      </c>
      <c r="D66" s="544" t="s">
        <v>24</v>
      </c>
      <c r="E66" s="544" t="s">
        <v>25</v>
      </c>
      <c r="F66" s="544">
        <v>100</v>
      </c>
      <c r="G66" s="544">
        <f>F66-$K10</f>
        <v>100</v>
      </c>
      <c r="H66" s="544">
        <f>G66-$K10</f>
        <v>100</v>
      </c>
      <c r="I66" s="544">
        <f>H66-$K10</f>
        <v>100</v>
      </c>
      <c r="J66" s="544"/>
      <c r="K66" s="544"/>
      <c r="L66" s="544"/>
      <c r="M66" s="545"/>
      <c r="N66" s="1156"/>
      <c r="O66" s="1156"/>
      <c r="P66" s="2634"/>
      <c r="Q66" s="504"/>
    </row>
    <row r="67" spans="1:17" ht="15.75" thickTop="1">
      <c r="A67" s="534"/>
      <c r="B67" s="546" t="s">
        <v>2535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2536</v>
      </c>
      <c r="B76" s="528" t="s">
        <v>2573</v>
      </c>
      <c r="C76" s="573" t="s">
        <v>2574</v>
      </c>
      <c r="D76" s="573" t="s">
        <v>2575</v>
      </c>
      <c r="E76" s="573" t="s">
        <v>2576</v>
      </c>
      <c r="F76" s="573" t="s">
        <v>2577</v>
      </c>
      <c r="G76" s="573" t="s">
        <v>2578</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2579</v>
      </c>
      <c r="C78" s="578" t="s">
        <v>2574</v>
      </c>
      <c r="D78" s="578" t="s">
        <v>2575</v>
      </c>
      <c r="E78" s="578" t="s">
        <v>2576</v>
      </c>
      <c r="F78" s="578" t="s">
        <v>2577</v>
      </c>
      <c r="G78" s="578" t="s">
        <v>2578</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2580</v>
      </c>
      <c r="C80" s="578" t="s">
        <v>2574</v>
      </c>
      <c r="D80" s="578" t="s">
        <v>2575</v>
      </c>
      <c r="E80" s="578" t="s">
        <v>2576</v>
      </c>
      <c r="F80" s="578" t="s">
        <v>2577</v>
      </c>
      <c r="G80" s="578" t="s">
        <v>2578</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2632</v>
      </c>
      <c r="C82" s="660" t="s">
        <v>2652</v>
      </c>
      <c r="D82" s="660" t="s">
        <v>2653</v>
      </c>
      <c r="E82" s="660" t="s">
        <v>2654</v>
      </c>
      <c r="F82" s="660" t="s">
        <v>2655</v>
      </c>
      <c r="G82" s="660" t="s">
        <v>2656</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2586</v>
      </c>
      <c r="C84" s="578" t="s">
        <v>2574</v>
      </c>
      <c r="D84" s="578" t="s">
        <v>2575</v>
      </c>
      <c r="E84" s="578" t="s">
        <v>2576</v>
      </c>
      <c r="F84" s="578" t="s">
        <v>2577</v>
      </c>
      <c r="G84" s="578" t="s">
        <v>2578</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2657</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2540</v>
      </c>
      <c r="B100" s="528" t="s">
        <v>2658</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2590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2591</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2593</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1973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2595</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2659</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2660</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2661</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2662</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2597</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2598</v>
      </c>
      <c r="C124" s="578" t="s">
        <v>2574</v>
      </c>
      <c r="D124" s="578" t="s">
        <v>2575</v>
      </c>
      <c r="E124" s="578" t="s">
        <v>2576</v>
      </c>
      <c r="F124" s="578" t="s">
        <v>2577</v>
      </c>
      <c r="G124" s="578" t="s">
        <v>2578</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2505</v>
      </c>
      <c r="B1" s="2673" t="s">
        <v>2663</v>
      </c>
      <c r="C1" s="1623" t="s">
        <v>2507</v>
      </c>
      <c r="D1" s="1624"/>
      <c r="E1" s="1633"/>
      <c r="F1" s="2588"/>
      <c r="G1" s="1634" t="s">
        <v>2620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2304</v>
      </c>
      <c r="B2" s="1421" t="e">
        <f ca="1">IF(C2="——",ROUND(C50*D3/10000,0),ROUND(C50*D3/10000,0)-D2)</f>
        <v>#DIV/0!</v>
      </c>
      <c r="C2" s="2590"/>
      <c r="D2" s="1368" t="e">
        <f ca="1">SUMIF(INDIRECT("'"&amp;F2&amp;"'"&amp;"!A:A"),"承租人权益价值",INDIRECT("'"&amp;F2&amp;"'"&amp;"!c:c"))</f>
        <v>#REF!</v>
      </c>
      <c r="E2" s="2591" t="s">
        <v>2305</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2306</v>
      </c>
      <c r="B3" s="609" t="e">
        <f ca="1">IF(C2="——",C50,ROUND(B2*10000/D3,0))</f>
        <v>#DIV/0!</v>
      </c>
      <c r="C3" s="400" t="s">
        <v>2621</v>
      </c>
      <c r="D3" s="399">
        <f>IF(D1="",'数据-汇总表'!E3,SUMIF('数据-汇总表'!$C19:$C33,D1,'数据-汇总表'!$E19:$E33))</f>
        <v>16346.349999999999</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2622</v>
      </c>
      <c r="B4" s="402"/>
      <c r="C4" s="3186" t="s">
        <v>2623</v>
      </c>
      <c r="D4" s="3187"/>
      <c r="E4" s="3188" t="s">
        <v>2624</v>
      </c>
      <c r="F4" s="3189"/>
      <c r="G4" s="3186" t="s">
        <v>2625</v>
      </c>
      <c r="H4" s="3187"/>
      <c r="I4" s="3186" t="s">
        <v>2626</v>
      </c>
      <c r="J4" s="3187"/>
      <c r="K4" s="610" t="s">
        <v>2627</v>
      </c>
      <c r="L4" s="1133"/>
      <c r="M4" s="1134"/>
      <c r="N4" s="1134"/>
      <c r="O4" s="1134"/>
      <c r="P4" s="3220" t="s">
        <v>2628</v>
      </c>
      <c r="Q4" s="3221"/>
      <c r="R4" s="3224" t="s">
        <v>2624</v>
      </c>
      <c r="S4" s="3225"/>
      <c r="T4" s="3224" t="s">
        <v>2625</v>
      </c>
      <c r="U4" s="3225"/>
      <c r="V4" s="3226" t="s">
        <v>2626</v>
      </c>
      <c r="W4" s="3226"/>
      <c r="X4" s="2674"/>
      <c r="Y4" s="3224" t="s">
        <v>2628</v>
      </c>
      <c r="Z4" s="3225"/>
      <c r="AA4" s="3228" t="s">
        <v>2624</v>
      </c>
      <c r="AB4" s="3228" t="s">
        <v>2625</v>
      </c>
      <c r="AC4" s="3217" t="s">
        <v>2626</v>
      </c>
    </row>
    <row r="5" spans="1:29" ht="15">
      <c r="A5" s="404"/>
      <c r="B5" s="405"/>
      <c r="C5" s="3205" t="s">
        <v>2519</v>
      </c>
      <c r="D5" s="3206"/>
      <c r="E5" s="3212" t="s">
        <v>2520</v>
      </c>
      <c r="F5" s="3213"/>
      <c r="G5" s="3205" t="s">
        <v>2521</v>
      </c>
      <c r="H5" s="3206"/>
      <c r="I5" s="3205" t="s">
        <v>2522</v>
      </c>
      <c r="J5" s="3206"/>
      <c r="K5" s="610"/>
      <c r="L5" s="1133"/>
      <c r="M5" s="1134"/>
      <c r="N5" s="1134"/>
      <c r="O5" s="1134"/>
      <c r="P5" s="3222"/>
      <c r="Q5" s="3193"/>
      <c r="R5" s="3198"/>
      <c r="S5" s="3199"/>
      <c r="T5" s="3198"/>
      <c r="U5" s="3199"/>
      <c r="V5" s="3202"/>
      <c r="W5" s="3202"/>
      <c r="X5" s="1816"/>
      <c r="Y5" s="3198"/>
      <c r="Z5" s="3199"/>
      <c r="AA5" s="3184"/>
      <c r="AB5" s="3184"/>
      <c r="AC5" s="3218"/>
    </row>
    <row r="6" spans="1:29" ht="15.75" thickBot="1">
      <c r="A6" s="406"/>
      <c r="B6" s="407"/>
      <c r="C6" s="3203" t="s">
        <v>2523</v>
      </c>
      <c r="D6" s="3204"/>
      <c r="E6" s="3210" t="s">
        <v>2523</v>
      </c>
      <c r="F6" s="3211"/>
      <c r="G6" s="3203" t="s">
        <v>2523</v>
      </c>
      <c r="H6" s="3204"/>
      <c r="I6" s="3203" t="s">
        <v>2523</v>
      </c>
      <c r="J6" s="3204"/>
      <c r="K6" s="610" t="s">
        <v>2524</v>
      </c>
      <c r="L6" s="1133"/>
      <c r="M6" s="1134"/>
      <c r="N6" s="1134"/>
      <c r="O6" s="1134"/>
      <c r="P6" s="3223"/>
      <c r="Q6" s="3195"/>
      <c r="R6" s="3198"/>
      <c r="S6" s="3199"/>
      <c r="T6" s="3200"/>
      <c r="U6" s="3201"/>
      <c r="V6" s="3202"/>
      <c r="W6" s="3202"/>
      <c r="X6" s="1816"/>
      <c r="Y6" s="3200"/>
      <c r="Z6" s="3201"/>
      <c r="AA6" s="3185"/>
      <c r="AB6" s="3185"/>
      <c r="AC6" s="3219"/>
    </row>
    <row r="7" spans="1:29" s="117" customFormat="1" ht="15.75" thickBot="1">
      <c r="A7" s="408" t="s">
        <v>2525</v>
      </c>
      <c r="B7" s="409"/>
      <c r="C7" s="410">
        <f>'数据-取费表'!B2</f>
        <v>43200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7" t="s">
        <v>2526</v>
      </c>
      <c r="Q7" s="3209"/>
      <c r="R7" s="770" t="s">
        <v>17</v>
      </c>
      <c r="S7" s="771">
        <f t="shared" ref="S7:S15" si="0">F7</f>
        <v>0</v>
      </c>
      <c r="T7" s="770" t="s">
        <v>17</v>
      </c>
      <c r="U7" s="771">
        <f t="shared" ref="U7:U15" si="1">H7</f>
        <v>0</v>
      </c>
      <c r="V7" s="770" t="s">
        <v>17</v>
      </c>
      <c r="W7" s="771">
        <f t="shared" ref="W7:W15" si="2">J7</f>
        <v>0</v>
      </c>
      <c r="X7" s="772"/>
      <c r="Y7" s="3207" t="s">
        <v>2526</v>
      </c>
      <c r="Z7" s="3208"/>
      <c r="AA7" s="773" t="e">
        <f>D7/F7</f>
        <v>#DIV/0!</v>
      </c>
      <c r="AB7" s="773" t="e">
        <f>D7/H7</f>
        <v>#DIV/0!</v>
      </c>
      <c r="AC7" s="2675" t="e">
        <f>D7/J7</f>
        <v>#DIV/0!</v>
      </c>
    </row>
    <row r="8" spans="1:29" s="117" customFormat="1" ht="15.75" thickBot="1">
      <c r="A8" s="408" t="s">
        <v>2527</v>
      </c>
      <c r="B8" s="409"/>
      <c r="C8" s="414" t="s">
        <v>2629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7" t="s">
        <v>2529</v>
      </c>
      <c r="Q8" s="3208"/>
      <c r="R8" s="770" t="s">
        <v>17</v>
      </c>
      <c r="S8" s="771">
        <f t="shared" si="0"/>
        <v>0</v>
      </c>
      <c r="T8" s="770" t="s">
        <v>17</v>
      </c>
      <c r="U8" s="771">
        <f t="shared" si="1"/>
        <v>0</v>
      </c>
      <c r="V8" s="770" t="s">
        <v>17</v>
      </c>
      <c r="W8" s="771">
        <f t="shared" si="2"/>
        <v>0</v>
      </c>
      <c r="X8" s="772"/>
      <c r="Y8" s="3207" t="s">
        <v>2529</v>
      </c>
      <c r="Z8" s="3208"/>
      <c r="AA8" s="773" t="e">
        <f t="shared" ref="AA8:AA47" si="3">D8/F8</f>
        <v>#DIV/0!</v>
      </c>
      <c r="AB8" s="773" t="e">
        <f t="shared" ref="AB8:AB47" si="4">D8/H8</f>
        <v>#DIV/0!</v>
      </c>
      <c r="AC8" s="2675" t="e">
        <f t="shared" ref="AC8:AC47" si="5">D8/J8</f>
        <v>#DIV/0!</v>
      </c>
    </row>
    <row r="9" spans="1:29" s="117" customFormat="1">
      <c r="A9" s="415" t="s">
        <v>2530</v>
      </c>
      <c r="B9" s="71" t="s">
        <v>2531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2" t="s">
        <v>2532</v>
      </c>
      <c r="Q9" s="1798" t="str">
        <f t="shared" ref="Q9:Q15" si="6">B9</f>
        <v>用途</v>
      </c>
      <c r="R9" s="770" t="s">
        <v>17</v>
      </c>
      <c r="S9" s="771">
        <f t="shared" si="0"/>
        <v>100</v>
      </c>
      <c r="T9" s="770" t="s">
        <v>17</v>
      </c>
      <c r="U9" s="771">
        <f t="shared" si="1"/>
        <v>100</v>
      </c>
      <c r="V9" s="770" t="s">
        <v>17</v>
      </c>
      <c r="W9" s="771">
        <f t="shared" si="2"/>
        <v>100</v>
      </c>
      <c r="X9" s="772"/>
      <c r="Y9" s="2996" t="s">
        <v>2533</v>
      </c>
      <c r="Z9" s="55" t="str">
        <f t="shared" ref="Z9:Z15" si="7">Q9</f>
        <v>用途</v>
      </c>
      <c r="AA9" s="773">
        <f t="shared" si="3"/>
        <v>1</v>
      </c>
      <c r="AB9" s="773">
        <f t="shared" si="4"/>
        <v>1</v>
      </c>
      <c r="AC9" s="2675">
        <f t="shared" si="5"/>
        <v>1</v>
      </c>
    </row>
    <row r="10" spans="1:29" s="427" customFormat="1" ht="27">
      <c r="A10" s="421"/>
      <c r="B10" s="422" t="s">
        <v>2534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2675">
        <f t="shared" si="5"/>
        <v>1</v>
      </c>
    </row>
    <row r="11" spans="1:29" ht="15">
      <c r="A11" s="428"/>
      <c r="B11" s="422" t="s">
        <v>2535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2"/>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82"/>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82"/>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82"/>
      <c r="Q14" s="1798">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2675">
        <f t="shared" si="5"/>
        <v>1</v>
      </c>
    </row>
    <row r="15" spans="1:29" ht="71.25">
      <c r="A15" s="440" t="s">
        <v>2536</v>
      </c>
      <c r="B15" s="629" t="s">
        <v>2664</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80" t="s">
        <v>2537</v>
      </c>
      <c r="Q15" s="1813" t="str">
        <f t="shared" si="6"/>
        <v>办公集聚程度</v>
      </c>
      <c r="R15" s="774" t="s">
        <v>17</v>
      </c>
      <c r="S15" s="775">
        <f t="shared" si="0"/>
        <v>100</v>
      </c>
      <c r="T15" s="774" t="s">
        <v>17</v>
      </c>
      <c r="U15" s="775">
        <f t="shared" si="1"/>
        <v>100</v>
      </c>
      <c r="V15" s="774" t="s">
        <v>17</v>
      </c>
      <c r="W15" s="775">
        <f t="shared" si="2"/>
        <v>100</v>
      </c>
      <c r="X15" s="1816"/>
      <c r="Y15" s="3173" t="s">
        <v>2537</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181"/>
      <c r="Q16" s="1813"/>
      <c r="R16" s="774"/>
      <c r="S16" s="775"/>
      <c r="T16" s="774"/>
      <c r="U16" s="775"/>
      <c r="V16" s="774"/>
      <c r="W16" s="775"/>
      <c r="X16" s="1816"/>
      <c r="Y16" s="3174"/>
      <c r="Z16" s="1817"/>
      <c r="AA16" s="1814">
        <v>1</v>
      </c>
      <c r="AB16" s="1814">
        <v>1</v>
      </c>
      <c r="AC16" s="2678">
        <v>1</v>
      </c>
    </row>
    <row r="17" spans="1:29" ht="71.25">
      <c r="A17" s="428"/>
      <c r="B17" s="631" t="s">
        <v>2074</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81"/>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181"/>
      <c r="Q18" s="1813"/>
      <c r="R18" s="774"/>
      <c r="S18" s="775"/>
      <c r="T18" s="774"/>
      <c r="U18" s="775"/>
      <c r="V18" s="774"/>
      <c r="W18" s="775"/>
      <c r="X18" s="1816"/>
      <c r="Y18" s="3174"/>
      <c r="Z18" s="1817"/>
      <c r="AA18" s="1814">
        <v>1</v>
      </c>
      <c r="AB18" s="1814">
        <v>1</v>
      </c>
      <c r="AC18" s="2678">
        <v>1</v>
      </c>
    </row>
    <row r="19" spans="1:29" ht="42.75">
      <c r="A19" s="428"/>
      <c r="B19" s="631" t="s">
        <v>2665</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81"/>
      <c r="Q19" s="1813" t="str">
        <f>B19</f>
        <v>公共配套设施</v>
      </c>
      <c r="R19" s="774" t="s">
        <v>17</v>
      </c>
      <c r="S19" s="775">
        <f>F19</f>
        <v>100</v>
      </c>
      <c r="T19" s="774" t="s">
        <v>17</v>
      </c>
      <c r="U19" s="775">
        <f>H19</f>
        <v>100</v>
      </c>
      <c r="V19" s="774" t="s">
        <v>17</v>
      </c>
      <c r="W19" s="775">
        <f>J19</f>
        <v>100</v>
      </c>
      <c r="X19" s="1816"/>
      <c r="Y19" s="3174"/>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181"/>
      <c r="Q20" s="1813"/>
      <c r="R20" s="774"/>
      <c r="S20" s="775"/>
      <c r="T20" s="774"/>
      <c r="U20" s="775"/>
      <c r="V20" s="774"/>
      <c r="W20" s="775"/>
      <c r="X20" s="1816"/>
      <c r="Y20" s="3174"/>
      <c r="Z20" s="1817"/>
      <c r="AA20" s="1814">
        <v>1</v>
      </c>
      <c r="AB20" s="1814">
        <v>1</v>
      </c>
      <c r="AC20" s="2678">
        <v>1</v>
      </c>
    </row>
    <row r="21" spans="1:29" ht="28.5">
      <c r="A21" s="428"/>
      <c r="B21" s="633" t="s">
        <v>2666</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81"/>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181"/>
      <c r="Q22" s="1813"/>
      <c r="R22" s="774"/>
      <c r="S22" s="775"/>
      <c r="T22" s="774"/>
      <c r="U22" s="775"/>
      <c r="V22" s="774"/>
      <c r="W22" s="775"/>
      <c r="X22" s="1816"/>
      <c r="Y22" s="3174"/>
      <c r="Z22" s="1817"/>
      <c r="AA22" s="1814">
        <v>1</v>
      </c>
      <c r="AB22" s="1814">
        <v>1</v>
      </c>
      <c r="AC22" s="2678">
        <v>1</v>
      </c>
    </row>
    <row r="23" spans="1:29" ht="42.75">
      <c r="A23" s="428"/>
      <c r="B23" s="631" t="s">
        <v>2667</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81"/>
      <c r="Q23" s="1813" t="str">
        <f>B23</f>
        <v>环境质量</v>
      </c>
      <c r="R23" s="774" t="s">
        <v>17</v>
      </c>
      <c r="S23" s="775">
        <f>F23</f>
        <v>100</v>
      </c>
      <c r="T23" s="774" t="s">
        <v>17</v>
      </c>
      <c r="U23" s="775">
        <f>H23</f>
        <v>100</v>
      </c>
      <c r="V23" s="774" t="s">
        <v>17</v>
      </c>
      <c r="W23" s="775">
        <f>J23</f>
        <v>100</v>
      </c>
      <c r="X23" s="1816"/>
      <c r="Y23" s="3174"/>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181"/>
      <c r="Q24" s="1813"/>
      <c r="R24" s="774"/>
      <c r="S24" s="775"/>
      <c r="T24" s="774"/>
      <c r="U24" s="775"/>
      <c r="V24" s="774"/>
      <c r="W24" s="775"/>
      <c r="X24" s="1816"/>
      <c r="Y24" s="3174"/>
      <c r="Z24" s="1817"/>
      <c r="AA24" s="1814">
        <v>1</v>
      </c>
      <c r="AB24" s="1814">
        <v>1</v>
      </c>
      <c r="AC24" s="2678">
        <v>1</v>
      </c>
    </row>
    <row r="25" spans="1:29" ht="27">
      <c r="A25" s="404"/>
      <c r="B25" s="631" t="s">
        <v>2668</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181"/>
      <c r="Q25" s="1813" t="str">
        <f>B25</f>
        <v>毗邻道路的类型与等级</v>
      </c>
      <c r="R25" s="774" t="s">
        <v>17</v>
      </c>
      <c r="S25" s="775">
        <f>F25</f>
        <v>100</v>
      </c>
      <c r="T25" s="774" t="s">
        <v>17</v>
      </c>
      <c r="U25" s="775">
        <f>H25</f>
        <v>100</v>
      </c>
      <c r="V25" s="774" t="s">
        <v>17</v>
      </c>
      <c r="W25" s="775">
        <f>J25</f>
        <v>100</v>
      </c>
      <c r="X25" s="1816"/>
      <c r="Y25" s="3174"/>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181"/>
      <c r="Q26" s="1813"/>
      <c r="R26" s="774"/>
      <c r="S26" s="775"/>
      <c r="T26" s="774"/>
      <c r="U26" s="775"/>
      <c r="V26" s="774"/>
      <c r="W26" s="775"/>
      <c r="X26" s="1816"/>
      <c r="Y26" s="3174"/>
      <c r="Z26" s="1817"/>
      <c r="AA26" s="1814">
        <v>1</v>
      </c>
      <c r="AB26" s="1814">
        <v>1</v>
      </c>
      <c r="AC26" s="2678">
        <v>1</v>
      </c>
    </row>
    <row r="27" spans="1:29" ht="15">
      <c r="A27" s="428"/>
      <c r="B27" s="632" t="s">
        <v>2636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81"/>
      <c r="Q27" s="1813" t="str">
        <f t="shared" ref="Q27:Q47" si="11">B27</f>
        <v>楼层</v>
      </c>
      <c r="R27" s="774" t="s">
        <v>17</v>
      </c>
      <c r="S27" s="775">
        <f>F27</f>
        <v>100</v>
      </c>
      <c r="T27" s="774" t="s">
        <v>17</v>
      </c>
      <c r="U27" s="775">
        <f>H27</f>
        <v>100</v>
      </c>
      <c r="V27" s="774" t="s">
        <v>17</v>
      </c>
      <c r="W27" s="775">
        <f>J27</f>
        <v>100</v>
      </c>
      <c r="X27" s="1816"/>
      <c r="Y27" s="3174"/>
      <c r="Z27" s="1817" t="str">
        <f>Q27</f>
        <v>楼层</v>
      </c>
      <c r="AA27" s="1814">
        <f t="shared" si="3"/>
        <v>1</v>
      </c>
      <c r="AB27" s="1814">
        <f t="shared" si="4"/>
        <v>1</v>
      </c>
      <c r="AC27" s="2678">
        <f t="shared" si="5"/>
        <v>1</v>
      </c>
    </row>
    <row r="28" spans="1:29" s="117" customFormat="1" ht="15">
      <c r="A28" s="431"/>
      <c r="B28" s="631" t="s">
        <v>2669</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181"/>
      <c r="Q28" s="1798" t="str">
        <f t="shared" si="11"/>
        <v>朝向</v>
      </c>
      <c r="R28" s="770" t="s">
        <v>17</v>
      </c>
      <c r="S28" s="771">
        <f>F28</f>
        <v>100</v>
      </c>
      <c r="T28" s="770" t="s">
        <v>17</v>
      </c>
      <c r="U28" s="771">
        <f>H28</f>
        <v>100</v>
      </c>
      <c r="V28" s="770" t="s">
        <v>17</v>
      </c>
      <c r="W28" s="771">
        <f>J28</f>
        <v>100</v>
      </c>
      <c r="X28" s="772"/>
      <c r="Y28" s="3174"/>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181"/>
      <c r="Q29" s="1813">
        <f t="shared" si="11"/>
        <v>111</v>
      </c>
      <c r="R29" s="774" t="s">
        <v>17</v>
      </c>
      <c r="S29" s="775">
        <f t="shared" ref="S29:S47" si="12">F29</f>
        <v>100</v>
      </c>
      <c r="T29" s="774" t="s">
        <v>17</v>
      </c>
      <c r="U29" s="775">
        <f t="shared" ref="U29:U47" si="13">H29</f>
        <v>100</v>
      </c>
      <c r="V29" s="774" t="s">
        <v>17</v>
      </c>
      <c r="W29" s="775">
        <f t="shared" ref="W29:W47" si="14">J29</f>
        <v>100</v>
      </c>
      <c r="X29" s="1816"/>
      <c r="Y29" s="3174"/>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181"/>
      <c r="Q30" s="1813">
        <f t="shared" si="11"/>
        <v>111</v>
      </c>
      <c r="R30" s="774" t="s">
        <v>17</v>
      </c>
      <c r="S30" s="775">
        <f t="shared" si="12"/>
        <v>100</v>
      </c>
      <c r="T30" s="774" t="s">
        <v>17</v>
      </c>
      <c r="U30" s="775">
        <f t="shared" si="13"/>
        <v>100</v>
      </c>
      <c r="V30" s="774" t="s">
        <v>17</v>
      </c>
      <c r="W30" s="775">
        <f t="shared" si="14"/>
        <v>100</v>
      </c>
      <c r="X30" s="1816"/>
      <c r="Y30" s="3174"/>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181"/>
      <c r="Q31" s="1813">
        <f t="shared" si="11"/>
        <v>111</v>
      </c>
      <c r="R31" s="774" t="s">
        <v>17</v>
      </c>
      <c r="S31" s="775">
        <f t="shared" si="12"/>
        <v>100</v>
      </c>
      <c r="T31" s="774" t="s">
        <v>17</v>
      </c>
      <c r="U31" s="775">
        <f t="shared" si="13"/>
        <v>100</v>
      </c>
      <c r="V31" s="774" t="s">
        <v>17</v>
      </c>
      <c r="W31" s="775">
        <f t="shared" si="14"/>
        <v>100</v>
      </c>
      <c r="X31" s="1816"/>
      <c r="Y31" s="3174"/>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181"/>
      <c r="Q32" s="1813">
        <f t="shared" si="11"/>
        <v>111</v>
      </c>
      <c r="R32" s="774" t="s">
        <v>17</v>
      </c>
      <c r="S32" s="775">
        <f t="shared" si="12"/>
        <v>100</v>
      </c>
      <c r="T32" s="774" t="s">
        <v>17</v>
      </c>
      <c r="U32" s="775">
        <f t="shared" si="13"/>
        <v>100</v>
      </c>
      <c r="V32" s="774" t="s">
        <v>17</v>
      </c>
      <c r="W32" s="775">
        <f t="shared" si="14"/>
        <v>100</v>
      </c>
      <c r="X32" s="1816"/>
      <c r="Y32" s="3174"/>
      <c r="Z32" s="1817">
        <f t="shared" si="15"/>
        <v>111</v>
      </c>
      <c r="AA32" s="1814">
        <f t="shared" si="3"/>
        <v>1</v>
      </c>
      <c r="AB32" s="1814">
        <f t="shared" si="4"/>
        <v>1</v>
      </c>
      <c r="AC32" s="2678">
        <f t="shared" si="5"/>
        <v>1</v>
      </c>
    </row>
    <row r="33" spans="1:29" ht="15">
      <c r="A33" s="440" t="s">
        <v>2540</v>
      </c>
      <c r="B33" s="71" t="s">
        <v>2670</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175" t="s">
        <v>2542</v>
      </c>
      <c r="Q33" s="1813" t="str">
        <f t="shared" si="11"/>
        <v>建筑类型</v>
      </c>
      <c r="R33" s="774" t="s">
        <v>17</v>
      </c>
      <c r="S33" s="775">
        <f t="shared" si="12"/>
        <v>100</v>
      </c>
      <c r="T33" s="774" t="s">
        <v>17</v>
      </c>
      <c r="U33" s="775">
        <f t="shared" si="13"/>
        <v>100</v>
      </c>
      <c r="V33" s="774" t="s">
        <v>17</v>
      </c>
      <c r="W33" s="775">
        <f t="shared" si="14"/>
        <v>100</v>
      </c>
      <c r="X33" s="1816"/>
      <c r="Y33" s="3178" t="s">
        <v>2542</v>
      </c>
      <c r="Z33" s="1817" t="str">
        <f t="shared" si="15"/>
        <v>建筑类型</v>
      </c>
      <c r="AA33" s="1814">
        <f t="shared" si="3"/>
        <v>1</v>
      </c>
      <c r="AB33" s="1814">
        <f t="shared" si="4"/>
        <v>1</v>
      </c>
      <c r="AC33" s="2678">
        <f t="shared" si="5"/>
        <v>1</v>
      </c>
    </row>
    <row r="34" spans="1:29" s="471" customFormat="1" ht="15">
      <c r="A34" s="468"/>
      <c r="B34" s="422" t="s">
        <v>2543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76"/>
      <c r="Q34" s="776" t="str">
        <f t="shared" si="11"/>
        <v>项目建筑规模</v>
      </c>
      <c r="R34" s="777" t="s">
        <v>17</v>
      </c>
      <c r="S34" s="778" t="e">
        <f t="shared" si="12"/>
        <v>#N/A</v>
      </c>
      <c r="T34" s="777" t="s">
        <v>17</v>
      </c>
      <c r="U34" s="778" t="e">
        <f t="shared" si="13"/>
        <v>#N/A</v>
      </c>
      <c r="V34" s="777" t="s">
        <v>17</v>
      </c>
      <c r="W34" s="778" t="e">
        <f t="shared" si="14"/>
        <v>#N/A</v>
      </c>
      <c r="X34" s="779"/>
      <c r="Y34" s="3178"/>
      <c r="Z34" s="780" t="str">
        <f t="shared" si="15"/>
        <v>项目建筑规模</v>
      </c>
      <c r="AA34" s="1814" t="e">
        <f t="shared" si="3"/>
        <v>#N/A</v>
      </c>
      <c r="AB34" s="1814" t="e">
        <f t="shared" si="4"/>
        <v>#N/A</v>
      </c>
      <c r="AC34" s="2678" t="e">
        <f t="shared" si="5"/>
        <v>#N/A</v>
      </c>
    </row>
    <row r="35" spans="1:29" ht="15">
      <c r="A35" s="472"/>
      <c r="B35" s="422" t="s">
        <v>2544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76"/>
      <c r="Q35" s="1813" t="str">
        <f t="shared" si="11"/>
        <v>建筑结构</v>
      </c>
      <c r="R35" s="774" t="s">
        <v>17</v>
      </c>
      <c r="S35" s="775">
        <f t="shared" si="12"/>
        <v>100</v>
      </c>
      <c r="T35" s="774" t="s">
        <v>17</v>
      </c>
      <c r="U35" s="775">
        <f t="shared" si="13"/>
        <v>100</v>
      </c>
      <c r="V35" s="774" t="s">
        <v>17</v>
      </c>
      <c r="W35" s="775">
        <f t="shared" si="14"/>
        <v>100</v>
      </c>
      <c r="X35" s="1816"/>
      <c r="Y35" s="3178"/>
      <c r="Z35" s="1817" t="str">
        <f t="shared" si="15"/>
        <v>建筑结构</v>
      </c>
      <c r="AA35" s="1814">
        <f t="shared" si="3"/>
        <v>1</v>
      </c>
      <c r="AB35" s="1814">
        <f t="shared" si="4"/>
        <v>1</v>
      </c>
      <c r="AC35" s="2678">
        <f t="shared" si="5"/>
        <v>1</v>
      </c>
    </row>
    <row r="36" spans="1:29" ht="15">
      <c r="A36" s="472"/>
      <c r="B36" s="422" t="s">
        <v>2638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76"/>
      <c r="Q36" s="1813" t="str">
        <f t="shared" si="11"/>
        <v>公共部分装修</v>
      </c>
      <c r="R36" s="774" t="s">
        <v>17</v>
      </c>
      <c r="S36" s="775">
        <f t="shared" si="12"/>
        <v>100</v>
      </c>
      <c r="T36" s="774" t="s">
        <v>17</v>
      </c>
      <c r="U36" s="775">
        <f t="shared" si="13"/>
        <v>100</v>
      </c>
      <c r="V36" s="774" t="s">
        <v>17</v>
      </c>
      <c r="W36" s="775">
        <f t="shared" si="14"/>
        <v>100</v>
      </c>
      <c r="X36" s="1816"/>
      <c r="Y36" s="3178"/>
      <c r="Z36" s="1817" t="str">
        <f t="shared" si="15"/>
        <v>公共部分装修</v>
      </c>
      <c r="AA36" s="1814">
        <f t="shared" si="3"/>
        <v>1</v>
      </c>
      <c r="AB36" s="1814">
        <f t="shared" si="4"/>
        <v>1</v>
      </c>
      <c r="AC36" s="2678">
        <f t="shared" si="5"/>
        <v>1</v>
      </c>
    </row>
    <row r="37" spans="1:29" ht="15">
      <c r="A37" s="472"/>
      <c r="B37" s="422" t="s">
        <v>2639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76"/>
      <c r="Q37" s="1813" t="str">
        <f t="shared" si="11"/>
        <v>成新度</v>
      </c>
      <c r="R37" s="774" t="s">
        <v>17</v>
      </c>
      <c r="S37" s="775" t="e">
        <f t="shared" si="12"/>
        <v>#N/A</v>
      </c>
      <c r="T37" s="774" t="s">
        <v>17</v>
      </c>
      <c r="U37" s="775" t="e">
        <f t="shared" si="13"/>
        <v>#N/A</v>
      </c>
      <c r="V37" s="774" t="s">
        <v>17</v>
      </c>
      <c r="W37" s="775" t="e">
        <f t="shared" si="14"/>
        <v>#N/A</v>
      </c>
      <c r="X37" s="1816"/>
      <c r="Y37" s="3178"/>
      <c r="Z37" s="1817" t="str">
        <f t="shared" si="15"/>
        <v>成新度</v>
      </c>
      <c r="AA37" s="1814" t="e">
        <f t="shared" si="3"/>
        <v>#N/A</v>
      </c>
      <c r="AB37" s="1814" t="e">
        <f t="shared" si="4"/>
        <v>#N/A</v>
      </c>
      <c r="AC37" s="2678" t="e">
        <f t="shared" si="5"/>
        <v>#N/A</v>
      </c>
    </row>
    <row r="38" spans="1:29" s="117" customFormat="1" ht="15">
      <c r="A38" s="473"/>
      <c r="B38" s="422" t="s">
        <v>2671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76"/>
      <c r="Q38" s="1798" t="str">
        <f t="shared" si="11"/>
        <v>写字楼等级</v>
      </c>
      <c r="R38" s="770" t="s">
        <v>17</v>
      </c>
      <c r="S38" s="771">
        <f t="shared" si="12"/>
        <v>100</v>
      </c>
      <c r="T38" s="770" t="s">
        <v>17</v>
      </c>
      <c r="U38" s="771">
        <f t="shared" si="13"/>
        <v>100</v>
      </c>
      <c r="V38" s="770" t="s">
        <v>17</v>
      </c>
      <c r="W38" s="771">
        <f t="shared" si="14"/>
        <v>100</v>
      </c>
      <c r="X38" s="772"/>
      <c r="Y38" s="3178"/>
      <c r="Z38" s="55" t="str">
        <f t="shared" si="15"/>
        <v>写字楼等级</v>
      </c>
      <c r="AA38" s="773">
        <f t="shared" si="3"/>
        <v>1</v>
      </c>
      <c r="AB38" s="773">
        <f t="shared" si="4"/>
        <v>1</v>
      </c>
      <c r="AC38" s="2675">
        <f t="shared" si="5"/>
        <v>1</v>
      </c>
    </row>
    <row r="39" spans="1:29" ht="15">
      <c r="A39" s="472"/>
      <c r="B39" s="422" t="s">
        <v>2672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76" t="s">
        <v>2542</v>
      </c>
      <c r="Q39" s="1813" t="str">
        <f t="shared" si="11"/>
        <v>物业管理</v>
      </c>
      <c r="R39" s="774" t="s">
        <v>17</v>
      </c>
      <c r="S39" s="775">
        <f t="shared" si="12"/>
        <v>100</v>
      </c>
      <c r="T39" s="774" t="s">
        <v>17</v>
      </c>
      <c r="U39" s="775">
        <f t="shared" si="13"/>
        <v>100</v>
      </c>
      <c r="V39" s="774" t="s">
        <v>17</v>
      </c>
      <c r="W39" s="775">
        <f t="shared" si="14"/>
        <v>100</v>
      </c>
      <c r="X39" s="1816"/>
      <c r="Y39" s="3178" t="s">
        <v>2542</v>
      </c>
      <c r="Z39" s="1817" t="str">
        <f t="shared" si="15"/>
        <v>物业管理</v>
      </c>
      <c r="AA39" s="1814">
        <f t="shared" si="3"/>
        <v>1</v>
      </c>
      <c r="AB39" s="1814">
        <f t="shared" si="4"/>
        <v>1</v>
      </c>
      <c r="AC39" s="2678">
        <f t="shared" si="5"/>
        <v>1</v>
      </c>
    </row>
    <row r="40" spans="1:29" ht="15">
      <c r="A40" s="472"/>
      <c r="B40" s="422" t="s">
        <v>2640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76"/>
      <c r="Q40" s="1813" t="str">
        <f t="shared" si="11"/>
        <v>市政基础设施</v>
      </c>
      <c r="R40" s="774" t="s">
        <v>17</v>
      </c>
      <c r="S40" s="775">
        <f t="shared" si="12"/>
        <v>100</v>
      </c>
      <c r="T40" s="774" t="s">
        <v>17</v>
      </c>
      <c r="U40" s="775">
        <f t="shared" si="13"/>
        <v>100</v>
      </c>
      <c r="V40" s="774" t="s">
        <v>17</v>
      </c>
      <c r="W40" s="775">
        <f t="shared" si="14"/>
        <v>100</v>
      </c>
      <c r="X40" s="1816"/>
      <c r="Y40" s="3178"/>
      <c r="Z40" s="1817" t="str">
        <f t="shared" si="15"/>
        <v>市政基础设施</v>
      </c>
      <c r="AA40" s="1814">
        <f t="shared" si="3"/>
        <v>1</v>
      </c>
      <c r="AB40" s="1814">
        <f t="shared" si="4"/>
        <v>1</v>
      </c>
      <c r="AC40" s="2678">
        <f t="shared" si="5"/>
        <v>1</v>
      </c>
    </row>
    <row r="41" spans="1:29" ht="15">
      <c r="A41" s="472"/>
      <c r="B41" s="422" t="s">
        <v>2642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76"/>
      <c r="Q41" s="1813" t="str">
        <f t="shared" si="11"/>
        <v>层高</v>
      </c>
      <c r="R41" s="774" t="s">
        <v>17</v>
      </c>
      <c r="S41" s="775">
        <f t="shared" si="12"/>
        <v>100</v>
      </c>
      <c r="T41" s="774" t="s">
        <v>17</v>
      </c>
      <c r="U41" s="775">
        <f t="shared" si="13"/>
        <v>100</v>
      </c>
      <c r="V41" s="774" t="s">
        <v>17</v>
      </c>
      <c r="W41" s="775">
        <f t="shared" si="14"/>
        <v>100</v>
      </c>
      <c r="X41" s="1816"/>
      <c r="Y41" s="3178"/>
      <c r="Z41" s="1817" t="str">
        <f t="shared" si="15"/>
        <v>层高</v>
      </c>
      <c r="AA41" s="1814">
        <f t="shared" si="3"/>
        <v>1</v>
      </c>
      <c r="AB41" s="1814">
        <f t="shared" si="4"/>
        <v>1</v>
      </c>
      <c r="AC41" s="2678">
        <f t="shared" si="5"/>
        <v>1</v>
      </c>
    </row>
    <row r="42" spans="1:29" s="471" customFormat="1" ht="15">
      <c r="A42" s="468"/>
      <c r="B42" s="1815" t="s">
        <v>2673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76"/>
      <c r="Q42" s="776" t="str">
        <f t="shared" si="11"/>
        <v>单套建筑面积</v>
      </c>
      <c r="R42" s="777" t="s">
        <v>17</v>
      </c>
      <c r="S42" s="778">
        <f t="shared" si="12"/>
        <v>100</v>
      </c>
      <c r="T42" s="777" t="s">
        <v>17</v>
      </c>
      <c r="U42" s="778">
        <f t="shared" si="13"/>
        <v>100</v>
      </c>
      <c r="V42" s="777" t="s">
        <v>17</v>
      </c>
      <c r="W42" s="778">
        <f t="shared" si="14"/>
        <v>100</v>
      </c>
      <c r="X42" s="779"/>
      <c r="Y42" s="3178"/>
      <c r="Z42" s="780" t="str">
        <f t="shared" si="15"/>
        <v>单套建筑面积</v>
      </c>
      <c r="AA42" s="1814">
        <f t="shared" si="3"/>
        <v>1</v>
      </c>
      <c r="AB42" s="1814">
        <f t="shared" si="4"/>
        <v>1</v>
      </c>
      <c r="AC42" s="2678">
        <f t="shared" si="5"/>
        <v>1</v>
      </c>
    </row>
    <row r="43" spans="1:29" ht="15">
      <c r="A43" s="472"/>
      <c r="B43" s="422" t="s">
        <v>2645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76"/>
      <c r="Q43" s="1813" t="str">
        <f t="shared" si="11"/>
        <v>内部装修</v>
      </c>
      <c r="R43" s="774" t="s">
        <v>17</v>
      </c>
      <c r="S43" s="775">
        <f t="shared" si="12"/>
        <v>100</v>
      </c>
      <c r="T43" s="774" t="s">
        <v>17</v>
      </c>
      <c r="U43" s="775">
        <f t="shared" si="13"/>
        <v>100</v>
      </c>
      <c r="V43" s="774" t="s">
        <v>17</v>
      </c>
      <c r="W43" s="775">
        <f t="shared" si="14"/>
        <v>100</v>
      </c>
      <c r="X43" s="1816"/>
      <c r="Y43" s="3178"/>
      <c r="Z43" s="1817" t="str">
        <f t="shared" si="15"/>
        <v>内部装修</v>
      </c>
      <c r="AA43" s="1814">
        <f t="shared" si="3"/>
        <v>1</v>
      </c>
      <c r="AB43" s="1814">
        <f t="shared" si="4"/>
        <v>1</v>
      </c>
      <c r="AC43" s="2678">
        <f t="shared" si="5"/>
        <v>1</v>
      </c>
    </row>
    <row r="44" spans="1:29" ht="15">
      <c r="A44" s="472"/>
      <c r="B44" s="422" t="s">
        <v>2553</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176"/>
      <c r="Q44" s="1813" t="str">
        <f t="shared" si="11"/>
        <v>内部装修维护情况</v>
      </c>
      <c r="R44" s="774" t="s">
        <v>17</v>
      </c>
      <c r="S44" s="775">
        <f t="shared" si="12"/>
        <v>100</v>
      </c>
      <c r="T44" s="774" t="s">
        <v>17</v>
      </c>
      <c r="U44" s="775">
        <f t="shared" si="13"/>
        <v>100</v>
      </c>
      <c r="V44" s="774" t="s">
        <v>17</v>
      </c>
      <c r="W44" s="775">
        <f t="shared" si="14"/>
        <v>100</v>
      </c>
      <c r="X44" s="1816"/>
      <c r="Y44" s="3178"/>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76"/>
      <c r="Q45" s="1798">
        <f t="shared" si="11"/>
        <v>111</v>
      </c>
      <c r="R45" s="770" t="s">
        <v>17</v>
      </c>
      <c r="S45" s="771">
        <f t="shared" si="12"/>
        <v>100</v>
      </c>
      <c r="T45" s="770" t="s">
        <v>17</v>
      </c>
      <c r="U45" s="771">
        <f t="shared" si="13"/>
        <v>100</v>
      </c>
      <c r="V45" s="770" t="s">
        <v>17</v>
      </c>
      <c r="W45" s="771">
        <f t="shared" si="14"/>
        <v>100</v>
      </c>
      <c r="X45" s="772"/>
      <c r="Y45" s="3178"/>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76"/>
      <c r="Q46" s="1813">
        <f t="shared" si="11"/>
        <v>111</v>
      </c>
      <c r="R46" s="774" t="s">
        <v>17</v>
      </c>
      <c r="S46" s="775">
        <f t="shared" si="12"/>
        <v>100</v>
      </c>
      <c r="T46" s="774" t="s">
        <v>17</v>
      </c>
      <c r="U46" s="775">
        <f t="shared" si="13"/>
        <v>100</v>
      </c>
      <c r="V46" s="774" t="s">
        <v>17</v>
      </c>
      <c r="W46" s="775">
        <f t="shared" si="14"/>
        <v>100</v>
      </c>
      <c r="X46" s="1816"/>
      <c r="Y46" s="3178"/>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77"/>
      <c r="Q47" s="1813">
        <f t="shared" si="11"/>
        <v>111</v>
      </c>
      <c r="R47" s="774" t="s">
        <v>17</v>
      </c>
      <c r="S47" s="775">
        <f t="shared" si="12"/>
        <v>100</v>
      </c>
      <c r="T47" s="774" t="s">
        <v>17</v>
      </c>
      <c r="U47" s="775">
        <f t="shared" si="13"/>
        <v>100</v>
      </c>
      <c r="V47" s="774" t="s">
        <v>17</v>
      </c>
      <c r="W47" s="775">
        <f t="shared" si="14"/>
        <v>100</v>
      </c>
      <c r="X47" s="1816"/>
      <c r="Y47" s="3179"/>
      <c r="Z47" s="1817">
        <f t="shared" si="15"/>
        <v>111</v>
      </c>
      <c r="AA47" s="1814">
        <f t="shared" si="3"/>
        <v>1</v>
      </c>
      <c r="AB47" s="1814">
        <f t="shared" si="4"/>
        <v>1</v>
      </c>
      <c r="AC47" s="2678">
        <f t="shared" si="5"/>
        <v>1</v>
      </c>
    </row>
    <row r="48" spans="1:29" ht="15">
      <c r="A48" s="479" t="s">
        <v>2554</v>
      </c>
      <c r="B48" s="480"/>
      <c r="C48" s="1410" t="s">
        <v>1</v>
      </c>
      <c r="D48" s="1411"/>
      <c r="E48" s="1412"/>
      <c r="F48" s="1413"/>
      <c r="G48" s="1414"/>
      <c r="H48" s="1415"/>
      <c r="I48" s="1412"/>
      <c r="J48" s="485"/>
      <c r="K48" s="783"/>
      <c r="L48" s="1146"/>
      <c r="M48" s="1134"/>
      <c r="N48" s="1134"/>
      <c r="O48" s="1134"/>
      <c r="P48" s="3182" t="str">
        <f>A48</f>
        <v>成交单价（元/平方米）</v>
      </c>
      <c r="Q48" s="3171"/>
      <c r="R48" s="3172">
        <f>E48</f>
        <v>0</v>
      </c>
      <c r="S48" s="3172"/>
      <c r="T48" s="3172">
        <f>G48</f>
        <v>0</v>
      </c>
      <c r="U48" s="3172"/>
      <c r="V48" s="3172">
        <f>I48</f>
        <v>0</v>
      </c>
      <c r="W48" s="3172"/>
      <c r="X48" s="446"/>
      <c r="Y48" s="781"/>
      <c r="Z48" s="446"/>
      <c r="AA48" s="446"/>
      <c r="AB48" s="446"/>
      <c r="AC48" s="630"/>
    </row>
    <row r="49" spans="1:29" ht="15.75" thickBot="1">
      <c r="A49" s="486" t="s">
        <v>2646</v>
      </c>
      <c r="B49" s="487"/>
      <c r="C49" s="1416" t="e">
        <f>R50</f>
        <v>#DIV/0!</v>
      </c>
      <c r="D49" s="1417"/>
      <c r="E49" s="1418" t="e">
        <f>R49</f>
        <v>#DIV/0!</v>
      </c>
      <c r="F49" s="1418"/>
      <c r="G49" s="1416" t="e">
        <f>T49</f>
        <v>#DIV/0!</v>
      </c>
      <c r="H49" s="1417"/>
      <c r="I49" s="1418" t="e">
        <f>V49</f>
        <v>#DIV/0!</v>
      </c>
      <c r="J49" s="489"/>
      <c r="K49" s="784"/>
      <c r="L49" s="1146"/>
      <c r="M49" s="1134"/>
      <c r="N49" s="1134"/>
      <c r="O49" s="1134"/>
      <c r="P49" s="3182" t="str">
        <f>A49</f>
        <v>比较价值（元/平方米）</v>
      </c>
      <c r="Q49" s="3171"/>
      <c r="R49" s="3172" t="e">
        <f>IF(F1="售价",ROUND(PRODUCT(R48,AA7:AA47),0),ROUND(PRODUCT(R48,AA7:AA47),1))</f>
        <v>#DIV/0!</v>
      </c>
      <c r="S49" s="3172"/>
      <c r="T49" s="3172" t="e">
        <f>IF(F1="售价",ROUND(PRODUCT(T48,AB7:AB47),0),ROUND(PRODUCT(T48,AB7:AB47),1))</f>
        <v>#DIV/0!</v>
      </c>
      <c r="U49" s="3172"/>
      <c r="V49" s="3172" t="e">
        <f>IF(F1="售价",ROUND(PRODUCT(V48,AC7:AC47),0),ROUND(PRODUCT(V48,AC7:AC47),1))</f>
        <v>#DIV/0!</v>
      </c>
      <c r="W49" s="3172"/>
      <c r="X49" s="446"/>
      <c r="Y49" s="446"/>
      <c r="Z49" s="446"/>
      <c r="AA49" s="446"/>
      <c r="AB49" s="446"/>
      <c r="AC49" s="630"/>
    </row>
    <row r="50" spans="1:29" ht="15.75" thickBot="1">
      <c r="A50" s="492" t="s">
        <v>2647</v>
      </c>
      <c r="B50" s="493"/>
      <c r="C50" s="1420" t="e">
        <f>R50</f>
        <v>#DIV/0!</v>
      </c>
      <c r="D50" s="1420"/>
      <c r="E50" s="1420"/>
      <c r="F50" s="1420"/>
      <c r="G50" s="1420"/>
      <c r="H50" s="1420"/>
      <c r="I50" s="1420"/>
      <c r="J50" s="494"/>
      <c r="K50" s="785"/>
      <c r="L50" s="1146"/>
      <c r="M50" s="1134"/>
      <c r="N50" s="1134"/>
      <c r="O50" s="1134"/>
      <c r="P50" s="3214" t="str">
        <f>A50</f>
        <v>估价对象XX用房的比较价值（楼面单价，元/平方米）</v>
      </c>
      <c r="Q50" s="3215"/>
      <c r="R50" s="3216" t="e">
        <f>IF(F1="售价",ROUND(AVERAGE(R49:V49),0),ROUND(AVERAGE(R49:V49),1))</f>
        <v>#DIV/0!</v>
      </c>
      <c r="S50" s="3216"/>
      <c r="T50" s="3216"/>
      <c r="U50" s="3216"/>
      <c r="V50" s="3216"/>
      <c r="W50" s="3216"/>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2648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2649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2650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2651</v>
      </c>
      <c r="B58" s="759"/>
      <c r="C58" s="764"/>
      <c r="D58" s="764"/>
      <c r="E58" s="764"/>
      <c r="F58" s="765"/>
      <c r="G58" s="765"/>
      <c r="H58" s="764"/>
      <c r="I58" s="764"/>
      <c r="J58" s="764"/>
      <c r="K58" s="766"/>
      <c r="L58" s="1164"/>
      <c r="M58" s="1162"/>
      <c r="N58" s="1162"/>
      <c r="O58" s="1162"/>
      <c r="P58" s="2685"/>
      <c r="Q58" s="504"/>
    </row>
    <row r="59" spans="1:29" s="508" customFormat="1" ht="15">
      <c r="A59" s="505" t="s">
        <v>2525</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2562</v>
      </c>
      <c r="B61" s="516"/>
      <c r="C61" s="517"/>
      <c r="D61" s="518"/>
      <c r="E61" s="518"/>
      <c r="F61" s="518"/>
      <c r="G61" s="518"/>
      <c r="H61" s="518"/>
      <c r="I61" s="518"/>
      <c r="J61" s="518"/>
      <c r="K61" s="518"/>
      <c r="L61" s="518"/>
      <c r="M61" s="519"/>
      <c r="N61" s="518"/>
      <c r="O61" s="519"/>
      <c r="P61" s="2686"/>
      <c r="Q61" s="504"/>
    </row>
    <row r="62" spans="1:29" s="117" customFormat="1" ht="15">
      <c r="A62" s="521" t="s">
        <v>2527</v>
      </c>
      <c r="B62" s="510"/>
      <c r="C62" s="522" t="s">
        <v>2629</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2565</v>
      </c>
      <c r="B64" s="528" t="s">
        <v>2531</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2534</v>
      </c>
      <c r="C66" s="539" t="s">
        <v>2566</v>
      </c>
      <c r="D66" s="539" t="s">
        <v>2567</v>
      </c>
      <c r="E66" s="539" t="s">
        <v>2568</v>
      </c>
      <c r="F66" s="539" t="s">
        <v>2569</v>
      </c>
      <c r="G66" s="539" t="s">
        <v>2570</v>
      </c>
      <c r="H66" s="539" t="s">
        <v>2571</v>
      </c>
      <c r="I66" s="539" t="s">
        <v>2572</v>
      </c>
      <c r="J66" s="539"/>
      <c r="K66" s="540"/>
      <c r="L66" s="541"/>
      <c r="M66" s="542"/>
      <c r="N66" s="1155"/>
      <c r="O66" s="1155"/>
      <c r="P66" s="2688"/>
      <c r="Q66" s="504"/>
    </row>
    <row r="67" spans="1:17" ht="15.75" thickBot="1">
      <c r="A67" s="534"/>
      <c r="B67" s="543"/>
      <c r="C67" s="544" t="s">
        <v>23</v>
      </c>
      <c r="D67" s="544" t="s">
        <v>24</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2535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2536</v>
      </c>
      <c r="B77" s="528" t="s">
        <v>2674</v>
      </c>
      <c r="C77" s="573" t="s">
        <v>2574</v>
      </c>
      <c r="D77" s="573" t="s">
        <v>2575</v>
      </c>
      <c r="E77" s="573" t="s">
        <v>2576</v>
      </c>
      <c r="F77" s="573" t="s">
        <v>2577</v>
      </c>
      <c r="G77" s="573" t="s">
        <v>2578</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2579</v>
      </c>
      <c r="C79" s="578" t="s">
        <v>2574</v>
      </c>
      <c r="D79" s="578" t="s">
        <v>2575</v>
      </c>
      <c r="E79" s="578" t="s">
        <v>2576</v>
      </c>
      <c r="F79" s="578" t="s">
        <v>2577</v>
      </c>
      <c r="G79" s="578" t="s">
        <v>2578</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2580</v>
      </c>
      <c r="C81" s="578" t="s">
        <v>2574</v>
      </c>
      <c r="D81" s="578" t="s">
        <v>2575</v>
      </c>
      <c r="E81" s="578" t="s">
        <v>2576</v>
      </c>
      <c r="F81" s="578" t="s">
        <v>2577</v>
      </c>
      <c r="G81" s="578" t="s">
        <v>2578</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2666</v>
      </c>
      <c r="C83" s="660" t="s">
        <v>2652</v>
      </c>
      <c r="D83" s="660" t="s">
        <v>2653</v>
      </c>
      <c r="E83" s="660" t="s">
        <v>2654</v>
      </c>
      <c r="F83" s="660" t="s">
        <v>2655</v>
      </c>
      <c r="G83" s="660" t="s">
        <v>2656</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2675</v>
      </c>
      <c r="C85" s="578" t="s">
        <v>2574</v>
      </c>
      <c r="D85" s="578" t="s">
        <v>2575</v>
      </c>
      <c r="E85" s="578" t="s">
        <v>2576</v>
      </c>
      <c r="F85" s="578" t="s">
        <v>2577</v>
      </c>
      <c r="G85" s="578" t="s">
        <v>2578</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2676</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2540</v>
      </c>
      <c r="B101" s="528" t="s">
        <v>2589</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2590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2591</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2593</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1973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2677</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2594</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2595</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2678</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2661</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2597</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2598</v>
      </c>
      <c r="C125" s="578" t="s">
        <v>2574</v>
      </c>
      <c r="D125" s="578" t="s">
        <v>2575</v>
      </c>
      <c r="E125" s="578" t="s">
        <v>2576</v>
      </c>
      <c r="F125" s="578" t="s">
        <v>2577</v>
      </c>
      <c r="G125" s="578" t="s">
        <v>2578</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2505</v>
      </c>
      <c r="B1" s="2673" t="s">
        <v>2679</v>
      </c>
      <c r="C1" s="1623" t="s">
        <v>2507</v>
      </c>
      <c r="D1" s="1624"/>
      <c r="E1" s="1633"/>
      <c r="F1" s="2588"/>
      <c r="G1" s="1634" t="s">
        <v>2620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2304</v>
      </c>
      <c r="B2" s="1421" t="e">
        <f ca="1">IF(C2="——",ROUND(C43*D3/10000,0),ROUND(C43*D3/10000,0)-D2)</f>
        <v>#DIV/0!</v>
      </c>
      <c r="C2" s="2590"/>
      <c r="D2" s="1127" t="e">
        <f ca="1">SUMIF(INDIRECT("'"&amp;F2&amp;"'"&amp;"!A:A"),"承租人权益价值",INDIRECT("'"&amp;F2&amp;"'"&amp;"!c:c"))</f>
        <v>#REF!</v>
      </c>
      <c r="E2" s="2591" t="s">
        <v>2305</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2306</v>
      </c>
      <c r="B3" s="609" t="e">
        <f ca="1">IF(C2="——",C43,ROUND(B2*10000/D3,0))</f>
        <v>#DIV/0!</v>
      </c>
      <c r="C3" s="400" t="s">
        <v>2621</v>
      </c>
      <c r="D3" s="399">
        <f>IF(D1="",'数据-汇总表'!E3,SUMIF('数据-汇总表'!$C19:$C33,D1,'数据-汇总表'!$E19:$E33))</f>
        <v>16346.349999999999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2622</v>
      </c>
      <c r="B4" s="402"/>
      <c r="C4" s="3186" t="s">
        <v>2623</v>
      </c>
      <c r="D4" s="3187"/>
      <c r="E4" s="3188" t="s">
        <v>2624</v>
      </c>
      <c r="F4" s="3189"/>
      <c r="G4" s="3186" t="s">
        <v>2625</v>
      </c>
      <c r="H4" s="3187"/>
      <c r="I4" s="3186" t="s">
        <v>2626</v>
      </c>
      <c r="J4" s="3187"/>
      <c r="K4" s="610" t="s">
        <v>2627</v>
      </c>
      <c r="L4" s="1133"/>
      <c r="M4" s="1134"/>
      <c r="N4" s="1134"/>
      <c r="O4" s="1134"/>
      <c r="P4" s="3190" t="s">
        <v>2628</v>
      </c>
      <c r="Q4" s="3191"/>
      <c r="R4" s="3196" t="s">
        <v>2624</v>
      </c>
      <c r="S4" s="3197"/>
      <c r="T4" s="3196" t="s">
        <v>2625</v>
      </c>
      <c r="U4" s="3197"/>
      <c r="V4" s="3202" t="s">
        <v>2626</v>
      </c>
      <c r="W4" s="3202"/>
      <c r="X4" s="1816"/>
      <c r="Y4" s="3196" t="s">
        <v>2628</v>
      </c>
      <c r="Z4" s="3197"/>
      <c r="AA4" s="3183" t="s">
        <v>2624</v>
      </c>
      <c r="AB4" s="3184" t="s">
        <v>2625</v>
      </c>
      <c r="AC4" s="3183" t="s">
        <v>2626</v>
      </c>
    </row>
    <row r="5" spans="1:29" ht="15">
      <c r="A5" s="404"/>
      <c r="B5" s="405"/>
      <c r="C5" s="3205" t="s">
        <v>2519</v>
      </c>
      <c r="D5" s="3206"/>
      <c r="E5" s="3212" t="s">
        <v>2520</v>
      </c>
      <c r="F5" s="3213"/>
      <c r="G5" s="3205" t="s">
        <v>2521</v>
      </c>
      <c r="H5" s="3206"/>
      <c r="I5" s="3205" t="s">
        <v>2522</v>
      </c>
      <c r="J5" s="3206"/>
      <c r="K5" s="610"/>
      <c r="L5" s="1133"/>
      <c r="M5" s="1134"/>
      <c r="N5" s="1134"/>
      <c r="O5" s="1134"/>
      <c r="P5" s="3192"/>
      <c r="Q5" s="3193"/>
      <c r="R5" s="3198"/>
      <c r="S5" s="3199"/>
      <c r="T5" s="3198"/>
      <c r="U5" s="3199"/>
      <c r="V5" s="3202"/>
      <c r="W5" s="3202"/>
      <c r="X5" s="1816"/>
      <c r="Y5" s="3198"/>
      <c r="Z5" s="3199"/>
      <c r="AA5" s="3184"/>
      <c r="AB5" s="3184"/>
      <c r="AC5" s="3184"/>
    </row>
    <row r="6" spans="1:29" ht="15.75" thickBot="1">
      <c r="A6" s="406"/>
      <c r="B6" s="407"/>
      <c r="C6" s="3203" t="s">
        <v>2523</v>
      </c>
      <c r="D6" s="3204"/>
      <c r="E6" s="3210" t="s">
        <v>2523</v>
      </c>
      <c r="F6" s="3211"/>
      <c r="G6" s="3203" t="s">
        <v>2523</v>
      </c>
      <c r="H6" s="3204"/>
      <c r="I6" s="3203" t="s">
        <v>2523</v>
      </c>
      <c r="J6" s="3204"/>
      <c r="K6" s="610" t="s">
        <v>2524</v>
      </c>
      <c r="L6" s="1133"/>
      <c r="M6" s="1134"/>
      <c r="N6" s="1134"/>
      <c r="O6" s="1134"/>
      <c r="P6" s="3194"/>
      <c r="Q6" s="3195"/>
      <c r="R6" s="3198"/>
      <c r="S6" s="3199"/>
      <c r="T6" s="3200"/>
      <c r="U6" s="3201"/>
      <c r="V6" s="3202"/>
      <c r="W6" s="3202"/>
      <c r="X6" s="1816"/>
      <c r="Y6" s="3200"/>
      <c r="Z6" s="3201"/>
      <c r="AA6" s="3185"/>
      <c r="AB6" s="3185"/>
      <c r="AC6" s="3185"/>
    </row>
    <row r="7" spans="1:29" s="117" customFormat="1" ht="15.75" thickBot="1">
      <c r="A7" s="408" t="s">
        <v>2525</v>
      </c>
      <c r="B7" s="409"/>
      <c r="C7" s="410">
        <f>'数据-取费表'!B2</f>
        <v>43200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7" t="s">
        <v>2526</v>
      </c>
      <c r="Q7" s="3209"/>
      <c r="R7" s="770" t="s">
        <v>17</v>
      </c>
      <c r="S7" s="771">
        <f t="shared" ref="S7:S15" si="0">F7</f>
        <v>0</v>
      </c>
      <c r="T7" s="770" t="s">
        <v>17</v>
      </c>
      <c r="U7" s="771">
        <f t="shared" ref="U7:U15" si="1">H7</f>
        <v>0</v>
      </c>
      <c r="V7" s="770" t="s">
        <v>17</v>
      </c>
      <c r="W7" s="771">
        <f t="shared" ref="W7:W15" si="2">J7</f>
        <v>0</v>
      </c>
      <c r="X7" s="772"/>
      <c r="Y7" s="3207" t="s">
        <v>2526</v>
      </c>
      <c r="Z7" s="3208"/>
      <c r="AA7" s="773" t="e">
        <f>D7/F7</f>
        <v>#DIV/0!</v>
      </c>
      <c r="AB7" s="773" t="e">
        <f>D7/H7</f>
        <v>#DIV/0!</v>
      </c>
      <c r="AC7" s="773" t="e">
        <f>D7/J7</f>
        <v>#DIV/0!</v>
      </c>
    </row>
    <row r="8" spans="1:29" s="117" customFormat="1" ht="15.75" thickBot="1">
      <c r="A8" s="408" t="s">
        <v>2527</v>
      </c>
      <c r="B8" s="409"/>
      <c r="C8" s="414" t="s">
        <v>2528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7" t="s">
        <v>2529</v>
      </c>
      <c r="Q8" s="3208"/>
      <c r="R8" s="770" t="s">
        <v>17</v>
      </c>
      <c r="S8" s="771">
        <f t="shared" si="0"/>
        <v>0</v>
      </c>
      <c r="T8" s="770" t="s">
        <v>17</v>
      </c>
      <c r="U8" s="771">
        <f t="shared" si="1"/>
        <v>0</v>
      </c>
      <c r="V8" s="770" t="s">
        <v>17</v>
      </c>
      <c r="W8" s="771">
        <f t="shared" si="2"/>
        <v>0</v>
      </c>
      <c r="X8" s="772"/>
      <c r="Y8" s="3207" t="s">
        <v>2529</v>
      </c>
      <c r="Z8" s="3208"/>
      <c r="AA8" s="773" t="e">
        <f t="shared" ref="AA8:AA40" si="3">D8/F8</f>
        <v>#DIV/0!</v>
      </c>
      <c r="AB8" s="773" t="e">
        <f t="shared" ref="AB8:AB40" si="4">D8/H8</f>
        <v>#DIV/0!</v>
      </c>
      <c r="AC8" s="773" t="e">
        <f t="shared" ref="AC8:AC40" si="5">D8/J8</f>
        <v>#DIV/0!</v>
      </c>
    </row>
    <row r="9" spans="1:29" s="117" customFormat="1">
      <c r="A9" s="415" t="s">
        <v>2530</v>
      </c>
      <c r="B9" s="71" t="s">
        <v>2531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1" t="s">
        <v>2532</v>
      </c>
      <c r="Q9" s="1798" t="str">
        <f t="shared" ref="Q9:Q15" si="6">B9</f>
        <v>用途</v>
      </c>
      <c r="R9" s="770" t="s">
        <v>17</v>
      </c>
      <c r="S9" s="771">
        <f t="shared" si="0"/>
        <v>100</v>
      </c>
      <c r="T9" s="770" t="s">
        <v>17</v>
      </c>
      <c r="U9" s="771">
        <f t="shared" si="1"/>
        <v>100</v>
      </c>
      <c r="V9" s="770" t="s">
        <v>17</v>
      </c>
      <c r="W9" s="771">
        <f t="shared" si="2"/>
        <v>100</v>
      </c>
      <c r="X9" s="772"/>
      <c r="Y9" s="2996" t="s">
        <v>2533</v>
      </c>
      <c r="Z9" s="55" t="str">
        <f t="shared" ref="Z9:Z15" si="7">Q9</f>
        <v>用途</v>
      </c>
      <c r="AA9" s="773">
        <f t="shared" si="3"/>
        <v>1</v>
      </c>
      <c r="AB9" s="773">
        <f t="shared" si="4"/>
        <v>1</v>
      </c>
      <c r="AC9" s="773">
        <f t="shared" si="5"/>
        <v>1</v>
      </c>
    </row>
    <row r="10" spans="1:29" s="427" customFormat="1" ht="27">
      <c r="A10" s="421"/>
      <c r="B10" s="422" t="s">
        <v>2534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1"/>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2535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1"/>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71"/>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71"/>
      <c r="Q14" s="1798">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15">
      <c r="A15" s="440" t="s">
        <v>2536</v>
      </c>
      <c r="B15" s="69" t="s">
        <v>2680</v>
      </c>
      <c r="C15" s="2697" t="str">
        <f>估价对象房地状况!G3</f>
        <v>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3" t="s">
        <v>2537</v>
      </c>
      <c r="Q15" s="1813" t="str">
        <f t="shared" si="6"/>
        <v>产业集聚程度</v>
      </c>
      <c r="R15" s="774" t="s">
        <v>17</v>
      </c>
      <c r="S15" s="775">
        <f t="shared" si="0"/>
        <v>100</v>
      </c>
      <c r="T15" s="774" t="s">
        <v>17</v>
      </c>
      <c r="U15" s="775">
        <f t="shared" si="1"/>
        <v>100</v>
      </c>
      <c r="V15" s="774" t="s">
        <v>17</v>
      </c>
      <c r="W15" s="775">
        <f t="shared" si="2"/>
        <v>100</v>
      </c>
      <c r="X15" s="1816"/>
      <c r="Y15" s="3173" t="s">
        <v>2537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4"/>
      <c r="Q16" s="1813"/>
      <c r="R16" s="774"/>
      <c r="S16" s="775"/>
      <c r="T16" s="774"/>
      <c r="U16" s="775"/>
      <c r="V16" s="774"/>
      <c r="W16" s="775"/>
      <c r="X16" s="1816"/>
      <c r="Y16" s="3174"/>
      <c r="Z16" s="1817"/>
      <c r="AA16" s="1814">
        <v>1</v>
      </c>
      <c r="AB16" s="1814">
        <v>1</v>
      </c>
      <c r="AC16" s="1814">
        <v>1</v>
      </c>
    </row>
    <row r="17" spans="1:29" ht="15">
      <c r="A17" s="428"/>
      <c r="B17" s="451" t="s">
        <v>2074</v>
      </c>
      <c r="C17" s="2611" t="str">
        <f>估价对象房地状况!G4</f>
        <v>一般</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4"/>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174"/>
      <c r="Q18" s="1813"/>
      <c r="R18" s="774"/>
      <c r="S18" s="775"/>
      <c r="T18" s="774"/>
      <c r="U18" s="775"/>
      <c r="V18" s="774"/>
      <c r="W18" s="775"/>
      <c r="X18" s="1816"/>
      <c r="Y18" s="3174"/>
      <c r="Z18" s="1817"/>
      <c r="AA18" s="1814">
        <v>1</v>
      </c>
      <c r="AB18" s="1814">
        <v>1</v>
      </c>
      <c r="AC18" s="1814">
        <v>1</v>
      </c>
    </row>
    <row r="19" spans="1:29" ht="15">
      <c r="A19" s="428"/>
      <c r="B19" s="451" t="s">
        <v>2665</v>
      </c>
      <c r="C19" s="2611" t="str">
        <f>估价对象房地状况!G5</f>
        <v>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4"/>
      <c r="Q19" s="1813" t="str">
        <f>B19</f>
        <v>公共配套设施</v>
      </c>
      <c r="R19" s="774" t="s">
        <v>17</v>
      </c>
      <c r="S19" s="775">
        <f>F19</f>
        <v>100</v>
      </c>
      <c r="T19" s="774" t="s">
        <v>17</v>
      </c>
      <c r="U19" s="775">
        <f>H19</f>
        <v>100</v>
      </c>
      <c r="V19" s="774" t="s">
        <v>17</v>
      </c>
      <c r="W19" s="775">
        <f>J19</f>
        <v>100</v>
      </c>
      <c r="X19" s="1816"/>
      <c r="Y19" s="3174"/>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174"/>
      <c r="Q20" s="1813"/>
      <c r="R20" s="774"/>
      <c r="S20" s="775"/>
      <c r="T20" s="774"/>
      <c r="U20" s="775"/>
      <c r="V20" s="774"/>
      <c r="W20" s="775"/>
      <c r="X20" s="1816"/>
      <c r="Y20" s="3174"/>
      <c r="Z20" s="1817"/>
      <c r="AA20" s="1814">
        <v>1</v>
      </c>
      <c r="AB20" s="1814">
        <v>1</v>
      </c>
      <c r="AC20" s="1814">
        <v>1</v>
      </c>
    </row>
    <row r="21" spans="1:29" ht="15">
      <c r="A21" s="428"/>
      <c r="B21" s="1387" t="s">
        <v>2666</v>
      </c>
      <c r="C21" s="2611" t="str">
        <f>估价对象房地状况!G6</f>
        <v>五通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4"/>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174"/>
      <c r="Q22" s="1813"/>
      <c r="R22" s="774"/>
      <c r="S22" s="775"/>
      <c r="T22" s="774"/>
      <c r="U22" s="775"/>
      <c r="V22" s="774"/>
      <c r="W22" s="775"/>
      <c r="X22" s="1816"/>
      <c r="Y22" s="3174"/>
      <c r="Z22" s="1817"/>
      <c r="AA22" s="1814">
        <v>1</v>
      </c>
      <c r="AB22" s="1814">
        <v>1</v>
      </c>
      <c r="AC22" s="1814">
        <v>1</v>
      </c>
    </row>
    <row r="23" spans="1:29" ht="15">
      <c r="A23" s="428"/>
      <c r="B23" s="451" t="s">
        <v>2667</v>
      </c>
      <c r="C23" s="2611" t="str">
        <f>估价对象房地状况!G7</f>
        <v>一般</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4"/>
      <c r="Q23" s="1813" t="str">
        <f>B23</f>
        <v>环境质量</v>
      </c>
      <c r="R23" s="774" t="s">
        <v>17</v>
      </c>
      <c r="S23" s="775">
        <f>F23</f>
        <v>100</v>
      </c>
      <c r="T23" s="774" t="s">
        <v>17</v>
      </c>
      <c r="U23" s="775">
        <f>H23</f>
        <v>100</v>
      </c>
      <c r="V23" s="774" t="s">
        <v>17</v>
      </c>
      <c r="W23" s="775">
        <f>J23</f>
        <v>100</v>
      </c>
      <c r="X23" s="1816"/>
      <c r="Y23" s="3174"/>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174"/>
      <c r="Q24" s="1813"/>
      <c r="R24" s="774"/>
      <c r="S24" s="775"/>
      <c r="T24" s="774"/>
      <c r="U24" s="775"/>
      <c r="V24" s="774"/>
      <c r="W24" s="775"/>
      <c r="X24" s="1816"/>
      <c r="Y24" s="317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4"/>
      <c r="Q25" s="1813">
        <f>B25</f>
        <v>111</v>
      </c>
      <c r="R25" s="774" t="s">
        <v>17</v>
      </c>
      <c r="S25" s="775">
        <f>F25</f>
        <v>100</v>
      </c>
      <c r="T25" s="774" t="s">
        <v>17</v>
      </c>
      <c r="U25" s="775">
        <f>H25</f>
        <v>100</v>
      </c>
      <c r="V25" s="774" t="s">
        <v>17</v>
      </c>
      <c r="W25" s="775">
        <f>J25</f>
        <v>100</v>
      </c>
      <c r="X25" s="1816"/>
      <c r="Y25" s="317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4"/>
      <c r="Q26" s="1813">
        <f t="shared" ref="Q26:Q40" si="11">B26</f>
        <v>111</v>
      </c>
      <c r="R26" s="774" t="s">
        <v>17</v>
      </c>
      <c r="S26" s="775">
        <f>F26</f>
        <v>100</v>
      </c>
      <c r="T26" s="774" t="s">
        <v>17</v>
      </c>
      <c r="U26" s="775">
        <f>H26</f>
        <v>100</v>
      </c>
      <c r="V26" s="774" t="s">
        <v>17</v>
      </c>
      <c r="W26" s="775">
        <f>J26</f>
        <v>100</v>
      </c>
      <c r="X26" s="1816"/>
      <c r="Y26" s="317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4"/>
      <c r="Q27" s="1798">
        <f t="shared" si="11"/>
        <v>111</v>
      </c>
      <c r="R27" s="770" t="s">
        <v>17</v>
      </c>
      <c r="S27" s="771">
        <f>F27</f>
        <v>100</v>
      </c>
      <c r="T27" s="770" t="s">
        <v>17</v>
      </c>
      <c r="U27" s="771">
        <f>H27</f>
        <v>100</v>
      </c>
      <c r="V27" s="770" t="s">
        <v>17</v>
      </c>
      <c r="W27" s="771">
        <f>J27</f>
        <v>100</v>
      </c>
      <c r="X27" s="772"/>
      <c r="Y27" s="317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4"/>
      <c r="Q28" s="1813">
        <f t="shared" si="11"/>
        <v>111</v>
      </c>
      <c r="R28" s="774" t="s">
        <v>17</v>
      </c>
      <c r="S28" s="775">
        <f t="shared" ref="S28:S40" si="12">F28</f>
        <v>100</v>
      </c>
      <c r="T28" s="774" t="s">
        <v>17</v>
      </c>
      <c r="U28" s="775">
        <f t="shared" ref="U28:U40" si="13">H28</f>
        <v>100</v>
      </c>
      <c r="V28" s="774" t="s">
        <v>17</v>
      </c>
      <c r="W28" s="775">
        <f t="shared" ref="W28:W40" si="14">J28</f>
        <v>100</v>
      </c>
      <c r="X28" s="1816"/>
      <c r="Y28" s="3174"/>
      <c r="Z28" s="1817">
        <f t="shared" ref="Z28:Z40" si="15">Q28</f>
        <v>111</v>
      </c>
      <c r="AA28" s="1814">
        <f t="shared" si="3"/>
        <v>1</v>
      </c>
      <c r="AB28" s="1814">
        <f t="shared" si="4"/>
        <v>1</v>
      </c>
      <c r="AC28" s="1814">
        <f t="shared" si="5"/>
        <v>1</v>
      </c>
    </row>
    <row r="29" spans="1:29" ht="15">
      <c r="A29" s="466" t="s">
        <v>2540</v>
      </c>
      <c r="B29" s="71" t="s">
        <v>2670</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29" t="s">
        <v>2542</v>
      </c>
      <c r="Q29" s="1813" t="str">
        <f t="shared" si="11"/>
        <v>建筑类型</v>
      </c>
      <c r="R29" s="774" t="s">
        <v>17</v>
      </c>
      <c r="S29" s="775">
        <f t="shared" si="12"/>
        <v>100</v>
      </c>
      <c r="T29" s="774" t="s">
        <v>17</v>
      </c>
      <c r="U29" s="775">
        <f t="shared" si="13"/>
        <v>100</v>
      </c>
      <c r="V29" s="774" t="s">
        <v>17</v>
      </c>
      <c r="W29" s="775">
        <f t="shared" si="14"/>
        <v>100</v>
      </c>
      <c r="X29" s="1816"/>
      <c r="Y29" s="3178" t="s">
        <v>2542</v>
      </c>
      <c r="Z29" s="1817" t="str">
        <f t="shared" si="15"/>
        <v>建筑类型</v>
      </c>
      <c r="AA29" s="1814">
        <f t="shared" si="3"/>
        <v>1</v>
      </c>
      <c r="AB29" s="1814">
        <f t="shared" si="4"/>
        <v>1</v>
      </c>
      <c r="AC29" s="1814">
        <f t="shared" si="5"/>
        <v>1</v>
      </c>
    </row>
    <row r="30" spans="1:29" s="471" customFormat="1" ht="15">
      <c r="A30" s="468"/>
      <c r="B30" s="422" t="s">
        <v>2543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8"/>
      <c r="Q30" s="776" t="str">
        <f t="shared" si="11"/>
        <v>项目建筑规模</v>
      </c>
      <c r="R30" s="777" t="s">
        <v>17</v>
      </c>
      <c r="S30" s="778" t="e">
        <f t="shared" si="12"/>
        <v>#N/A</v>
      </c>
      <c r="T30" s="777" t="s">
        <v>17</v>
      </c>
      <c r="U30" s="778" t="e">
        <f t="shared" si="13"/>
        <v>#N/A</v>
      </c>
      <c r="V30" s="777" t="s">
        <v>17</v>
      </c>
      <c r="W30" s="778" t="e">
        <f t="shared" si="14"/>
        <v>#N/A</v>
      </c>
      <c r="X30" s="779"/>
      <c r="Y30" s="3178"/>
      <c r="Z30" s="780" t="str">
        <f t="shared" si="15"/>
        <v>项目建筑规模</v>
      </c>
      <c r="AA30" s="1814" t="e">
        <f t="shared" si="3"/>
        <v>#N/A</v>
      </c>
      <c r="AB30" s="1814" t="e">
        <f t="shared" si="4"/>
        <v>#N/A</v>
      </c>
      <c r="AC30" s="1814" t="e">
        <f t="shared" si="5"/>
        <v>#N/A</v>
      </c>
    </row>
    <row r="31" spans="1:29" ht="15">
      <c r="A31" s="472"/>
      <c r="B31" s="422" t="s">
        <v>2544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8"/>
      <c r="Q31" s="1813" t="str">
        <f t="shared" si="11"/>
        <v>建筑结构</v>
      </c>
      <c r="R31" s="774" t="s">
        <v>17</v>
      </c>
      <c r="S31" s="775">
        <f t="shared" si="12"/>
        <v>100</v>
      </c>
      <c r="T31" s="774" t="s">
        <v>17</v>
      </c>
      <c r="U31" s="775">
        <f t="shared" si="13"/>
        <v>100</v>
      </c>
      <c r="V31" s="774" t="s">
        <v>17</v>
      </c>
      <c r="W31" s="775">
        <f t="shared" si="14"/>
        <v>100</v>
      </c>
      <c r="X31" s="1816"/>
      <c r="Y31" s="3178"/>
      <c r="Z31" s="1817" t="str">
        <f t="shared" si="15"/>
        <v>建筑结构</v>
      </c>
      <c r="AA31" s="1814">
        <f t="shared" si="3"/>
        <v>1</v>
      </c>
      <c r="AB31" s="1814">
        <f t="shared" si="4"/>
        <v>1</v>
      </c>
      <c r="AC31" s="1814">
        <f t="shared" si="5"/>
        <v>1</v>
      </c>
    </row>
    <row r="32" spans="1:29" ht="15">
      <c r="A32" s="472"/>
      <c r="B32" s="422" t="s">
        <v>2638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8"/>
      <c r="Q32" s="1813" t="str">
        <f t="shared" si="11"/>
        <v>公共部分装修</v>
      </c>
      <c r="R32" s="774" t="s">
        <v>17</v>
      </c>
      <c r="S32" s="775">
        <f t="shared" si="12"/>
        <v>100</v>
      </c>
      <c r="T32" s="774" t="s">
        <v>17</v>
      </c>
      <c r="U32" s="775">
        <f t="shared" si="13"/>
        <v>100</v>
      </c>
      <c r="V32" s="774" t="s">
        <v>17</v>
      </c>
      <c r="W32" s="775">
        <f t="shared" si="14"/>
        <v>100</v>
      </c>
      <c r="X32" s="1816"/>
      <c r="Y32" s="3178"/>
      <c r="Z32" s="1817" t="str">
        <f t="shared" si="15"/>
        <v>公共部分装修</v>
      </c>
      <c r="AA32" s="1814">
        <f t="shared" si="3"/>
        <v>1</v>
      </c>
      <c r="AB32" s="1814">
        <f t="shared" si="4"/>
        <v>1</v>
      </c>
      <c r="AC32" s="1814">
        <f t="shared" si="5"/>
        <v>1</v>
      </c>
    </row>
    <row r="33" spans="1:29" ht="15">
      <c r="A33" s="472"/>
      <c r="B33" s="422" t="s">
        <v>2639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8"/>
      <c r="Q33" s="1813" t="str">
        <f t="shared" si="11"/>
        <v>成新度</v>
      </c>
      <c r="R33" s="774" t="s">
        <v>17</v>
      </c>
      <c r="S33" s="775" t="e">
        <f t="shared" si="12"/>
        <v>#N/A</v>
      </c>
      <c r="T33" s="774" t="s">
        <v>17</v>
      </c>
      <c r="U33" s="775" t="e">
        <f t="shared" si="13"/>
        <v>#N/A</v>
      </c>
      <c r="V33" s="774" t="s">
        <v>17</v>
      </c>
      <c r="W33" s="775" t="e">
        <f t="shared" si="14"/>
        <v>#N/A</v>
      </c>
      <c r="X33" s="1816"/>
      <c r="Y33" s="3178"/>
      <c r="Z33" s="1817" t="str">
        <f t="shared" si="15"/>
        <v>成新度</v>
      </c>
      <c r="AA33" s="1814" t="e">
        <f t="shared" si="3"/>
        <v>#N/A</v>
      </c>
      <c r="AB33" s="1814" t="e">
        <f t="shared" si="4"/>
        <v>#N/A</v>
      </c>
      <c r="AC33" s="1814" t="e">
        <f t="shared" si="5"/>
        <v>#N/A</v>
      </c>
    </row>
    <row r="34" spans="1:29" s="117" customFormat="1" ht="15">
      <c r="A34" s="473"/>
      <c r="B34" s="422" t="s">
        <v>2672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8"/>
      <c r="Q34" s="1798" t="str">
        <f t="shared" si="11"/>
        <v>物业管理</v>
      </c>
      <c r="R34" s="770" t="s">
        <v>17</v>
      </c>
      <c r="S34" s="771">
        <f t="shared" si="12"/>
        <v>100</v>
      </c>
      <c r="T34" s="770" t="s">
        <v>17</v>
      </c>
      <c r="U34" s="771">
        <f t="shared" si="13"/>
        <v>100</v>
      </c>
      <c r="V34" s="770" t="s">
        <v>17</v>
      </c>
      <c r="W34" s="771">
        <f t="shared" si="14"/>
        <v>100</v>
      </c>
      <c r="X34" s="772"/>
      <c r="Y34" s="3178"/>
      <c r="Z34" s="55" t="str">
        <f t="shared" si="15"/>
        <v>物业管理</v>
      </c>
      <c r="AA34" s="773">
        <f t="shared" si="3"/>
        <v>1</v>
      </c>
      <c r="AB34" s="773">
        <f t="shared" si="4"/>
        <v>1</v>
      </c>
      <c r="AC34" s="773">
        <f t="shared" si="5"/>
        <v>1</v>
      </c>
    </row>
    <row r="35" spans="1:29" ht="15">
      <c r="A35" s="472"/>
      <c r="B35" s="422" t="s">
        <v>2640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8" t="s">
        <v>2542</v>
      </c>
      <c r="Q35" s="1813" t="str">
        <f t="shared" si="11"/>
        <v>市政基础设施</v>
      </c>
      <c r="R35" s="774" t="s">
        <v>17</v>
      </c>
      <c r="S35" s="775">
        <f t="shared" si="12"/>
        <v>100</v>
      </c>
      <c r="T35" s="774" t="s">
        <v>17</v>
      </c>
      <c r="U35" s="775">
        <f t="shared" si="13"/>
        <v>100</v>
      </c>
      <c r="V35" s="774" t="s">
        <v>17</v>
      </c>
      <c r="W35" s="775">
        <f t="shared" si="14"/>
        <v>100</v>
      </c>
      <c r="X35" s="1816"/>
      <c r="Y35" s="3178" t="s">
        <v>2542</v>
      </c>
      <c r="Z35" s="1817" t="str">
        <f t="shared" si="15"/>
        <v>市政基础设施</v>
      </c>
      <c r="AA35" s="1814">
        <f t="shared" si="3"/>
        <v>1</v>
      </c>
      <c r="AB35" s="1814">
        <f t="shared" si="4"/>
        <v>1</v>
      </c>
      <c r="AC35" s="1814">
        <f t="shared" si="5"/>
        <v>1</v>
      </c>
    </row>
    <row r="36" spans="1:29" ht="15">
      <c r="A36" s="472"/>
      <c r="B36" s="422" t="s">
        <v>2645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8"/>
      <c r="Q36" s="1813" t="str">
        <f t="shared" si="11"/>
        <v>内部装修</v>
      </c>
      <c r="R36" s="774" t="s">
        <v>17</v>
      </c>
      <c r="S36" s="775">
        <f t="shared" si="12"/>
        <v>100</v>
      </c>
      <c r="T36" s="774" t="s">
        <v>17</v>
      </c>
      <c r="U36" s="775">
        <f t="shared" si="13"/>
        <v>100</v>
      </c>
      <c r="V36" s="774" t="s">
        <v>17</v>
      </c>
      <c r="W36" s="775">
        <f t="shared" si="14"/>
        <v>100</v>
      </c>
      <c r="X36" s="1816"/>
      <c r="Y36" s="3178"/>
      <c r="Z36" s="1817" t="str">
        <f t="shared" si="15"/>
        <v>内部装修</v>
      </c>
      <c r="AA36" s="1814">
        <f t="shared" si="3"/>
        <v>1</v>
      </c>
      <c r="AB36" s="1814">
        <f t="shared" si="4"/>
        <v>1</v>
      </c>
      <c r="AC36" s="1814">
        <f t="shared" si="5"/>
        <v>1</v>
      </c>
    </row>
    <row r="37" spans="1:29" ht="15">
      <c r="A37" s="472"/>
      <c r="B37" s="422" t="s">
        <v>2681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8"/>
      <c r="Q37" s="1813" t="str">
        <f t="shared" si="11"/>
        <v>内部装修状况</v>
      </c>
      <c r="R37" s="774" t="s">
        <v>17</v>
      </c>
      <c r="S37" s="775">
        <f t="shared" si="12"/>
        <v>100</v>
      </c>
      <c r="T37" s="774" t="s">
        <v>17</v>
      </c>
      <c r="U37" s="775">
        <f t="shared" si="13"/>
        <v>100</v>
      </c>
      <c r="V37" s="774" t="s">
        <v>17</v>
      </c>
      <c r="W37" s="775">
        <f t="shared" si="14"/>
        <v>100</v>
      </c>
      <c r="X37" s="1816"/>
      <c r="Y37" s="317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8"/>
      <c r="Q38" s="776">
        <f t="shared" si="11"/>
        <v>111</v>
      </c>
      <c r="R38" s="777" t="s">
        <v>17</v>
      </c>
      <c r="S38" s="778">
        <f t="shared" si="12"/>
        <v>100</v>
      </c>
      <c r="T38" s="777" t="s">
        <v>17</v>
      </c>
      <c r="U38" s="778">
        <f t="shared" si="13"/>
        <v>100</v>
      </c>
      <c r="V38" s="777" t="s">
        <v>17</v>
      </c>
      <c r="W38" s="778">
        <f t="shared" si="14"/>
        <v>100</v>
      </c>
      <c r="X38" s="779"/>
      <c r="Y38" s="317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8"/>
      <c r="Q39" s="1813">
        <f t="shared" si="11"/>
        <v>111</v>
      </c>
      <c r="R39" s="774" t="s">
        <v>17</v>
      </c>
      <c r="S39" s="775">
        <f t="shared" si="12"/>
        <v>100</v>
      </c>
      <c r="T39" s="774" t="s">
        <v>17</v>
      </c>
      <c r="U39" s="775">
        <f t="shared" si="13"/>
        <v>100</v>
      </c>
      <c r="V39" s="774" t="s">
        <v>17</v>
      </c>
      <c r="W39" s="775">
        <f t="shared" si="14"/>
        <v>100</v>
      </c>
      <c r="X39" s="1816"/>
      <c r="Y39" s="3178"/>
      <c r="Z39" s="1817">
        <f t="shared" si="15"/>
        <v>111</v>
      </c>
      <c r="AA39" s="1814">
        <f t="shared" si="3"/>
        <v>1</v>
      </c>
      <c r="AB39" s="1814">
        <f t="shared" si="4"/>
        <v>1</v>
      </c>
      <c r="AC39" s="1814">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79"/>
      <c r="Q40" s="1813">
        <f t="shared" si="11"/>
        <v>111</v>
      </c>
      <c r="R40" s="774" t="s">
        <v>17</v>
      </c>
      <c r="S40" s="775">
        <f t="shared" si="12"/>
        <v>100</v>
      </c>
      <c r="T40" s="774" t="s">
        <v>17</v>
      </c>
      <c r="U40" s="775">
        <f t="shared" si="13"/>
        <v>100</v>
      </c>
      <c r="V40" s="774" t="s">
        <v>17</v>
      </c>
      <c r="W40" s="775">
        <f t="shared" si="14"/>
        <v>100</v>
      </c>
      <c r="X40" s="1816"/>
      <c r="Y40" s="3179"/>
      <c r="Z40" s="1817">
        <f t="shared" si="15"/>
        <v>111</v>
      </c>
      <c r="AA40" s="1814">
        <f t="shared" si="3"/>
        <v>1</v>
      </c>
      <c r="AB40" s="1814">
        <f t="shared" si="4"/>
        <v>1</v>
      </c>
      <c r="AC40" s="1814">
        <f t="shared" si="5"/>
        <v>1</v>
      </c>
    </row>
    <row r="41" spans="1:29" ht="15">
      <c r="A41" s="479" t="s">
        <v>2554</v>
      </c>
      <c r="B41" s="480"/>
      <c r="C41" s="1410" t="s">
        <v>1</v>
      </c>
      <c r="D41" s="1411"/>
      <c r="E41" s="1412"/>
      <c r="F41" s="1413"/>
      <c r="G41" s="1414"/>
      <c r="H41" s="1415"/>
      <c r="I41" s="1412"/>
      <c r="J41" s="1415"/>
      <c r="K41" s="783"/>
      <c r="L41" s="1146"/>
      <c r="M41" s="1147"/>
      <c r="N41" s="1134"/>
      <c r="O41" s="1147"/>
      <c r="P41" s="3171" t="str">
        <f>A41</f>
        <v>成交单价（元/平方米）</v>
      </c>
      <c r="Q41" s="3171"/>
      <c r="R41" s="3172">
        <f>E41</f>
        <v>0</v>
      </c>
      <c r="S41" s="3172"/>
      <c r="T41" s="3172">
        <f>G41</f>
        <v>0</v>
      </c>
      <c r="U41" s="3172"/>
      <c r="V41" s="3172">
        <f>I41</f>
        <v>0</v>
      </c>
      <c r="W41" s="3172"/>
      <c r="X41" s="759"/>
      <c r="Y41" s="781"/>
      <c r="Z41" s="759"/>
      <c r="AA41" s="759"/>
      <c r="AB41" s="759"/>
      <c r="AC41" s="759"/>
    </row>
    <row r="42" spans="1:29" ht="15.75" thickBot="1">
      <c r="A42" s="486" t="s">
        <v>2646</v>
      </c>
      <c r="B42" s="487"/>
      <c r="C42" s="1416" t="e">
        <f>R43</f>
        <v>#DIV/0!</v>
      </c>
      <c r="D42" s="1417"/>
      <c r="E42" s="1418" t="e">
        <f>R42</f>
        <v>#DIV/0!</v>
      </c>
      <c r="F42" s="1418"/>
      <c r="G42" s="1416" t="e">
        <f>T42</f>
        <v>#DIV/0!</v>
      </c>
      <c r="H42" s="1417"/>
      <c r="I42" s="1418" t="e">
        <f>V42</f>
        <v>#DIV/0!</v>
      </c>
      <c r="J42" s="1417"/>
      <c r="K42" s="784"/>
      <c r="L42" s="1146"/>
      <c r="M42" s="1147"/>
      <c r="N42" s="1134"/>
      <c r="O42" s="1147"/>
      <c r="P42" s="3171" t="str">
        <f>A42</f>
        <v>比较价值（元/平方米）</v>
      </c>
      <c r="Q42" s="3171"/>
      <c r="R42" s="3172" t="e">
        <f>IF(F1="售价",ROUND(PRODUCT(R41,AA7:AA40),0),ROUND(PRODUCT(R41,AA7:AA40),1))</f>
        <v>#DIV/0!</v>
      </c>
      <c r="S42" s="3172"/>
      <c r="T42" s="3172" t="e">
        <f>IF(F1="售价",ROUND(PRODUCT(T41,AB7:AB40),0),ROUND(PRODUCT(T41,AB7:AB40),1))</f>
        <v>#DIV/0!</v>
      </c>
      <c r="U42" s="3172"/>
      <c r="V42" s="3172" t="e">
        <f>IF(F1="售价",ROUND(PRODUCT(V41,AC7:AC40),0),ROUND(PRODUCT(V41,AC7:AC40),1))</f>
        <v>#DIV/0!</v>
      </c>
      <c r="W42" s="3172"/>
      <c r="X42" s="759"/>
      <c r="Y42" s="759"/>
      <c r="Z42" s="759"/>
      <c r="AA42" s="759"/>
      <c r="AB42" s="759"/>
      <c r="AC42" s="759"/>
    </row>
    <row r="43" spans="1:29" ht="15.75" thickBot="1">
      <c r="A43" s="492" t="s">
        <v>2647</v>
      </c>
      <c r="B43" s="493"/>
      <c r="C43" s="1420" t="e">
        <f>R43</f>
        <v>#DIV/0!</v>
      </c>
      <c r="D43" s="1420"/>
      <c r="E43" s="1420"/>
      <c r="F43" s="1420"/>
      <c r="G43" s="1420"/>
      <c r="H43" s="1420"/>
      <c r="I43" s="1420"/>
      <c r="J43" s="1420"/>
      <c r="K43" s="785"/>
      <c r="L43" s="1146"/>
      <c r="M43" s="1147"/>
      <c r="N43" s="1147"/>
      <c r="O43" s="1147"/>
      <c r="P43" s="3168" t="str">
        <f>A43</f>
        <v>估价对象XX用房的比较价值（楼面单价，元/平方米）</v>
      </c>
      <c r="Q43" s="3169"/>
      <c r="R43" s="3170" t="e">
        <f>IF(F1="售价",ROUND(AVERAGE(R42:V42),0),ROUND(AVERAGE(R42:V42),1))</f>
        <v>#DIV/0!</v>
      </c>
      <c r="S43" s="3170"/>
      <c r="T43" s="3170"/>
      <c r="U43" s="3170"/>
      <c r="V43" s="3170"/>
      <c r="W43" s="317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2648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2649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2650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2651</v>
      </c>
      <c r="B51" s="759"/>
      <c r="C51" s="764"/>
      <c r="D51" s="764"/>
      <c r="E51" s="764"/>
      <c r="F51" s="765"/>
      <c r="G51" s="765"/>
      <c r="H51" s="764"/>
      <c r="I51" s="764"/>
      <c r="J51" s="764"/>
      <c r="K51" s="1163"/>
      <c r="L51" s="1164"/>
      <c r="M51" s="1162"/>
      <c r="N51" s="1162"/>
      <c r="O51" s="1162"/>
      <c r="P51" s="503"/>
      <c r="Q51" s="504"/>
    </row>
    <row r="52" spans="1:17" s="508" customFormat="1" ht="15">
      <c r="A52" s="505" t="s">
        <v>2525</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2562</v>
      </c>
      <c r="B54" s="516"/>
      <c r="C54" s="517"/>
      <c r="D54" s="518"/>
      <c r="E54" s="518"/>
      <c r="F54" s="518"/>
      <c r="G54" s="518"/>
      <c r="H54" s="518"/>
      <c r="I54" s="518"/>
      <c r="J54" s="518"/>
      <c r="K54" s="518"/>
      <c r="L54" s="518"/>
      <c r="M54" s="519"/>
      <c r="N54" s="518"/>
      <c r="O54" s="520"/>
      <c r="P54" s="504"/>
      <c r="Q54" s="504"/>
    </row>
    <row r="55" spans="1:17" s="117" customFormat="1" ht="15">
      <c r="A55" s="521" t="s">
        <v>2527</v>
      </c>
      <c r="B55" s="510"/>
      <c r="C55" s="522" t="s">
        <v>2629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2565</v>
      </c>
      <c r="B57" s="528" t="s">
        <v>2531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2534</v>
      </c>
      <c r="C59" s="539" t="s">
        <v>2566</v>
      </c>
      <c r="D59" s="539" t="s">
        <v>2567</v>
      </c>
      <c r="E59" s="539" t="s">
        <v>2568</v>
      </c>
      <c r="F59" s="539" t="s">
        <v>2569</v>
      </c>
      <c r="G59" s="539" t="s">
        <v>2570</v>
      </c>
      <c r="H59" s="539" t="s">
        <v>2571</v>
      </c>
      <c r="I59" s="539" t="s">
        <v>2572</v>
      </c>
      <c r="J59" s="539"/>
      <c r="K59" s="540"/>
      <c r="L59" s="541"/>
      <c r="M59" s="542"/>
      <c r="N59" s="1155"/>
      <c r="O59" s="1155"/>
      <c r="P59" s="45"/>
      <c r="Q59" s="504"/>
    </row>
    <row r="60" spans="1:17" ht="15.75" thickBot="1">
      <c r="A60" s="534"/>
      <c r="B60" s="543"/>
      <c r="C60" s="544" t="s">
        <v>23</v>
      </c>
      <c r="D60" s="544" t="s">
        <v>24</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2535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2536</v>
      </c>
      <c r="B70" s="528" t="s">
        <v>2682</v>
      </c>
      <c r="C70" s="573" t="s">
        <v>2574</v>
      </c>
      <c r="D70" s="573" t="s">
        <v>2575</v>
      </c>
      <c r="E70" s="573" t="s">
        <v>2576</v>
      </c>
      <c r="F70" s="573" t="s">
        <v>2577</v>
      </c>
      <c r="G70" s="573" t="s">
        <v>2578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2579</v>
      </c>
      <c r="C72" s="578" t="s">
        <v>2574</v>
      </c>
      <c r="D72" s="578" t="s">
        <v>2575</v>
      </c>
      <c r="E72" s="578" t="s">
        <v>2576</v>
      </c>
      <c r="F72" s="578" t="s">
        <v>2577</v>
      </c>
      <c r="G72" s="578" t="s">
        <v>2578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2580</v>
      </c>
      <c r="C74" s="578" t="s">
        <v>2574</v>
      </c>
      <c r="D74" s="578" t="s">
        <v>2575</v>
      </c>
      <c r="E74" s="578" t="s">
        <v>2576</v>
      </c>
      <c r="F74" s="578" t="s">
        <v>2577</v>
      </c>
      <c r="G74" s="578" t="s">
        <v>2578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2666</v>
      </c>
      <c r="C76" s="660" t="s">
        <v>2652</v>
      </c>
      <c r="D76" s="660" t="s">
        <v>2653</v>
      </c>
      <c r="E76" s="660" t="s">
        <v>2654</v>
      </c>
      <c r="F76" s="660" t="s">
        <v>2655</v>
      </c>
      <c r="G76" s="660" t="s">
        <v>2656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2675</v>
      </c>
      <c r="C78" s="578" t="s">
        <v>2574</v>
      </c>
      <c r="D78" s="578" t="s">
        <v>2575</v>
      </c>
      <c r="E78" s="578" t="s">
        <v>2576</v>
      </c>
      <c r="F78" s="578" t="s">
        <v>2577</v>
      </c>
      <c r="G78" s="578" t="s">
        <v>2578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2540</v>
      </c>
      <c r="B88" s="528" t="s">
        <v>2589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2590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2591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2593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1973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2594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2595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2597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2683</v>
      </c>
      <c r="C106" s="578" t="s">
        <v>2574</v>
      </c>
      <c r="D106" s="578" t="s">
        <v>2575</v>
      </c>
      <c r="E106" s="578" t="s">
        <v>2576</v>
      </c>
      <c r="F106" s="578" t="s">
        <v>2577</v>
      </c>
      <c r="G106" s="578" t="s">
        <v>2578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北京星箭长空测控技术股份有限公司：</v>
      </c>
    </row>
    <row r="4" spans="1:1" ht="36">
      <c r="A4" s="1951" t="str">
        <f>"受贵公司委托，我公司对"&amp;项目基本情况!S1&amp;"进行了预评估。"</f>
        <v>受贵公司委托，我公司对北京市顺义区白马路马坡段60号院1-6幢工业用房房地产抵押价值进行了预评估。</v>
      </c>
    </row>
    <row r="5" spans="1:1" ht="18.75">
      <c r="A5" s="1952" t="s">
        <v>1611</v>
      </c>
    </row>
    <row r="6" spans="1:1" ht="18.75">
      <c r="A6" s="1953" t="s">
        <v>1612</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白马路马坡段60号院1-6幢工业用房房地产，为北京星箭长空测控技术股份有限公司所有。根据《国有土地使用证》[]，估价对象（分摊）出让国有建设用地使用权面积为13177.7平方米，建筑面积为16346.35平方米。</v>
      </c>
    </row>
    <row r="8" spans="1:1" ht="57.75">
      <c r="A8" s="1954" t="s">
        <v>1613</v>
      </c>
    </row>
    <row r="9" spans="1:1" ht="18.75">
      <c r="A9" s="1953" t="s">
        <v>1614</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白马路马坡段60号院1-6幢工业用房房地产,属北京星箭长空测控技术股份有限公司开发建设的工业项目，该项目尚在开发建设中。根据《国有土地使用证》[]，估价对象（分摊）出让国有建设用地使用权面积为13177.7平方米，规划建筑面积为16346.35平方米。</v>
      </c>
    </row>
    <row r="11" spans="1:1" ht="76.5">
      <c r="A11" s="1954" t="s">
        <v>1615</v>
      </c>
    </row>
    <row r="12" spans="1:1" ht="18.75">
      <c r="A12" s="1952" t="s">
        <v>1616</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2018年4月10日（评估专业人员实地查勘之日）</v>
      </c>
    </row>
    <row r="16" spans="1:1" ht="18.75">
      <c r="A16" s="1956" t="s">
        <v>1618</v>
      </c>
    </row>
    <row r="17" spans="1:1" ht="75">
      <c r="A17" s="1951" t="s">
        <v>1619</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10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1608</v>
      </c>
    </row>
    <row r="24" spans="1:1" ht="18">
      <c r="A24" s="1958" t="str">
        <f>"本次评估采用的主估价方法为"&amp;结果表!K4&amp;"和"&amp;结果表!L4&amp;"。"</f>
        <v>本次评估采用的主估价方法为成本法和收益法。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2684</v>
      </c>
      <c r="B1" s="1622"/>
      <c r="C1" s="1623" t="s">
        <v>2507</v>
      </c>
      <c r="D1" s="1624"/>
      <c r="E1" s="1625"/>
      <c r="F1" s="2588"/>
      <c r="G1" s="1626" t="s">
        <v>2620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2304</v>
      </c>
      <c r="B2" s="1421" t="e">
        <f ca="1">IF(C2="——",IF(B37="元/平方米",ROUND(C39*D3/10000,0),ROUND(F3*C39/10000,0)),IF(B37="元/平方米",ROUND(C39*D3/10000,0),ROUND(F3*C39/10000,0))-D2)</f>
        <v>#DIV/0!</v>
      </c>
      <c r="C2" s="2590"/>
      <c r="D2" s="1127" t="e">
        <f ca="1">SUMIF(INDIRECT("'"&amp;F2&amp;"'"&amp;"!A:A"),"承租人权益价值",INDIRECT("'"&amp;F2&amp;"'"&amp;"!c:c"))</f>
        <v>#REF!</v>
      </c>
      <c r="E2" s="2591" t="s">
        <v>2305</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2306</v>
      </c>
      <c r="B3" s="609" t="e">
        <f ca="1">IF(AND(C2="——",B37="元/平方米"),C39,ROUND(B2*10000/D3,0))</f>
        <v>#DIV/0!</v>
      </c>
      <c r="C3" s="400" t="s">
        <v>2621</v>
      </c>
      <c r="D3" s="399">
        <f>SUMIF('数据-汇总表'!$C19:$C33,D1,'数据-汇总表'!$E19:$E33)</f>
        <v>0</v>
      </c>
      <c r="E3" s="400" t="s">
        <v>2685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2622</v>
      </c>
      <c r="B4" s="402"/>
      <c r="C4" s="3186" t="s">
        <v>2623</v>
      </c>
      <c r="D4" s="3187"/>
      <c r="E4" s="3188" t="s">
        <v>2624</v>
      </c>
      <c r="F4" s="3189"/>
      <c r="G4" s="3186" t="s">
        <v>2625</v>
      </c>
      <c r="H4" s="3187"/>
      <c r="I4" s="3186" t="s">
        <v>2626</v>
      </c>
      <c r="J4" s="3187"/>
      <c r="K4" s="610" t="s">
        <v>2627</v>
      </c>
      <c r="L4" s="1133"/>
      <c r="M4" s="1134"/>
      <c r="N4" s="1134"/>
      <c r="O4" s="1134"/>
      <c r="P4" s="3190" t="s">
        <v>2628</v>
      </c>
      <c r="Q4" s="3191"/>
      <c r="R4" s="3196" t="s">
        <v>2624</v>
      </c>
      <c r="S4" s="3197"/>
      <c r="T4" s="3196" t="s">
        <v>2625</v>
      </c>
      <c r="U4" s="3197"/>
      <c r="V4" s="3202" t="s">
        <v>2626</v>
      </c>
      <c r="W4" s="3202"/>
      <c r="X4" s="1816"/>
      <c r="Y4" s="3196" t="s">
        <v>2628</v>
      </c>
      <c r="Z4" s="3197"/>
      <c r="AA4" s="3183" t="s">
        <v>2624</v>
      </c>
      <c r="AB4" s="3184" t="s">
        <v>2625</v>
      </c>
      <c r="AC4" s="3183" t="s">
        <v>2626</v>
      </c>
    </row>
    <row r="5" spans="1:29" ht="15">
      <c r="A5" s="404"/>
      <c r="B5" s="405"/>
      <c r="C5" s="3205" t="s">
        <v>2519</v>
      </c>
      <c r="D5" s="3206"/>
      <c r="E5" s="3212" t="s">
        <v>2520</v>
      </c>
      <c r="F5" s="3213"/>
      <c r="G5" s="3205" t="s">
        <v>2521</v>
      </c>
      <c r="H5" s="3206"/>
      <c r="I5" s="3205" t="s">
        <v>2522</v>
      </c>
      <c r="J5" s="3206"/>
      <c r="K5" s="610"/>
      <c r="L5" s="1133"/>
      <c r="M5" s="1134"/>
      <c r="N5" s="1134"/>
      <c r="O5" s="1134"/>
      <c r="P5" s="3192"/>
      <c r="Q5" s="3193"/>
      <c r="R5" s="3198"/>
      <c r="S5" s="3199"/>
      <c r="T5" s="3198"/>
      <c r="U5" s="3199"/>
      <c r="V5" s="3202"/>
      <c r="W5" s="3202"/>
      <c r="X5" s="1816"/>
      <c r="Y5" s="3198"/>
      <c r="Z5" s="3199"/>
      <c r="AA5" s="3184"/>
      <c r="AB5" s="3184"/>
      <c r="AC5" s="3184"/>
    </row>
    <row r="6" spans="1:29" ht="15.75" thickBot="1">
      <c r="A6" s="406"/>
      <c r="B6" s="407"/>
      <c r="C6" s="3203" t="s">
        <v>2523</v>
      </c>
      <c r="D6" s="3204"/>
      <c r="E6" s="3210" t="s">
        <v>2523</v>
      </c>
      <c r="F6" s="3211"/>
      <c r="G6" s="3203" t="s">
        <v>2523</v>
      </c>
      <c r="H6" s="3204"/>
      <c r="I6" s="3203" t="s">
        <v>2523</v>
      </c>
      <c r="J6" s="3204"/>
      <c r="K6" s="610" t="s">
        <v>2524</v>
      </c>
      <c r="L6" s="1133"/>
      <c r="M6" s="1134"/>
      <c r="N6" s="1134"/>
      <c r="O6" s="1134"/>
      <c r="P6" s="3194"/>
      <c r="Q6" s="3195"/>
      <c r="R6" s="3198"/>
      <c r="S6" s="3199"/>
      <c r="T6" s="3200"/>
      <c r="U6" s="3201"/>
      <c r="V6" s="3202"/>
      <c r="W6" s="3202"/>
      <c r="X6" s="1816"/>
      <c r="Y6" s="3200"/>
      <c r="Z6" s="3201"/>
      <c r="AA6" s="3185"/>
      <c r="AB6" s="3185"/>
      <c r="AC6" s="3185"/>
    </row>
    <row r="7" spans="1:29" s="117" customFormat="1" ht="15.75" thickBot="1">
      <c r="A7" s="408" t="s">
        <v>2525</v>
      </c>
      <c r="B7" s="409"/>
      <c r="C7" s="410">
        <f>'数据-取费表'!B2</f>
        <v>43200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7" t="s">
        <v>2526</v>
      </c>
      <c r="Q7" s="3209"/>
      <c r="R7" s="770" t="s">
        <v>17</v>
      </c>
      <c r="S7" s="771">
        <f t="shared" ref="S7:S14" si="0">F7</f>
        <v>0</v>
      </c>
      <c r="T7" s="770" t="s">
        <v>17</v>
      </c>
      <c r="U7" s="771">
        <f t="shared" ref="U7:U14" si="1">H7</f>
        <v>0</v>
      </c>
      <c r="V7" s="770" t="s">
        <v>17</v>
      </c>
      <c r="W7" s="771">
        <f t="shared" ref="W7:W14" si="2">J7</f>
        <v>0</v>
      </c>
      <c r="X7" s="772"/>
      <c r="Y7" s="3207" t="s">
        <v>2526</v>
      </c>
      <c r="Z7" s="3208"/>
      <c r="AA7" s="773" t="e">
        <f>D7/F7</f>
        <v>#DIV/0!</v>
      </c>
      <c r="AB7" s="773" t="e">
        <f>D7/H7</f>
        <v>#DIV/0!</v>
      </c>
      <c r="AC7" s="773" t="e">
        <f>D7/J7</f>
        <v>#DIV/0!</v>
      </c>
    </row>
    <row r="8" spans="1:29" s="117" customFormat="1" ht="15.75" thickBot="1">
      <c r="A8" s="408" t="s">
        <v>2527</v>
      </c>
      <c r="B8" s="409"/>
      <c r="C8" s="414" t="s">
        <v>2629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7" t="s">
        <v>2529</v>
      </c>
      <c r="Q8" s="3208"/>
      <c r="R8" s="770" t="s">
        <v>17</v>
      </c>
      <c r="S8" s="771">
        <f t="shared" si="0"/>
        <v>0</v>
      </c>
      <c r="T8" s="770" t="s">
        <v>17</v>
      </c>
      <c r="U8" s="771">
        <f t="shared" si="1"/>
        <v>0</v>
      </c>
      <c r="V8" s="770" t="s">
        <v>17</v>
      </c>
      <c r="W8" s="771">
        <f t="shared" si="2"/>
        <v>0</v>
      </c>
      <c r="X8" s="772"/>
      <c r="Y8" s="3207" t="s">
        <v>2529</v>
      </c>
      <c r="Z8" s="3208"/>
      <c r="AA8" s="773" t="e">
        <f t="shared" ref="AA8:AA36" si="3">D8/F8</f>
        <v>#DIV/0!</v>
      </c>
      <c r="AB8" s="773" t="e">
        <f t="shared" ref="AB8:AB36" si="4">D8/H8</f>
        <v>#DIV/0!</v>
      </c>
      <c r="AC8" s="773" t="e">
        <f t="shared" ref="AC8:AC36" si="5">D8/J8</f>
        <v>#DIV/0!</v>
      </c>
    </row>
    <row r="9" spans="1:29" s="117" customFormat="1">
      <c r="A9" s="68" t="s">
        <v>2530</v>
      </c>
      <c r="B9" s="640" t="s">
        <v>2531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1" t="s">
        <v>2532</v>
      </c>
      <c r="Q9" s="1798" t="str">
        <f t="shared" ref="Q9:Q14" si="6">B9</f>
        <v>用途</v>
      </c>
      <c r="R9" s="770" t="s">
        <v>17</v>
      </c>
      <c r="S9" s="771">
        <f t="shared" si="0"/>
        <v>100</v>
      </c>
      <c r="T9" s="770" t="s">
        <v>17</v>
      </c>
      <c r="U9" s="771">
        <f t="shared" si="1"/>
        <v>100</v>
      </c>
      <c r="V9" s="770" t="s">
        <v>17</v>
      </c>
      <c r="W9" s="771">
        <f t="shared" si="2"/>
        <v>100</v>
      </c>
      <c r="X9" s="772"/>
      <c r="Y9" s="2996" t="s">
        <v>2533</v>
      </c>
      <c r="Z9" s="55" t="str">
        <f t="shared" ref="Z9:Z14" si="7">Q9</f>
        <v>用途</v>
      </c>
      <c r="AA9" s="773">
        <f t="shared" si="3"/>
        <v>1</v>
      </c>
      <c r="AB9" s="773">
        <f t="shared" si="4"/>
        <v>1</v>
      </c>
      <c r="AC9" s="773">
        <f t="shared" si="5"/>
        <v>1</v>
      </c>
    </row>
    <row r="10" spans="1:29" s="427" customFormat="1" ht="27">
      <c r="A10" s="641"/>
      <c r="B10" s="642" t="s">
        <v>2534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1"/>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1"/>
      <c r="Q11" s="1798">
        <f t="shared" si="6"/>
        <v>111</v>
      </c>
      <c r="R11" s="770" t="s">
        <v>17</v>
      </c>
      <c r="S11" s="771">
        <f t="shared" si="0"/>
        <v>100</v>
      </c>
      <c r="T11" s="770" t="s">
        <v>17</v>
      </c>
      <c r="U11" s="771">
        <f t="shared" si="1"/>
        <v>100</v>
      </c>
      <c r="V11" s="770" t="s">
        <v>17</v>
      </c>
      <c r="W11" s="771">
        <f t="shared" si="2"/>
        <v>100</v>
      </c>
      <c r="X11" s="772"/>
      <c r="Y11" s="299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1"/>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1"/>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85.5">
      <c r="A14" s="401" t="s">
        <v>2536</v>
      </c>
      <c r="B14" s="629" t="s">
        <v>2686</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3" t="s">
        <v>2537</v>
      </c>
      <c r="Q14" s="1813" t="str">
        <f t="shared" si="6"/>
        <v>交通便捷度</v>
      </c>
      <c r="R14" s="774" t="s">
        <v>17</v>
      </c>
      <c r="S14" s="775">
        <f t="shared" si="0"/>
        <v>100</v>
      </c>
      <c r="T14" s="774" t="s">
        <v>17</v>
      </c>
      <c r="U14" s="775">
        <f t="shared" si="1"/>
        <v>100</v>
      </c>
      <c r="V14" s="774" t="s">
        <v>17</v>
      </c>
      <c r="W14" s="775">
        <f t="shared" si="2"/>
        <v>100</v>
      </c>
      <c r="X14" s="1816"/>
      <c r="Y14" s="3173" t="s">
        <v>2537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4"/>
      <c r="Q15" s="1813"/>
      <c r="R15" s="774"/>
      <c r="S15" s="775"/>
      <c r="T15" s="774"/>
      <c r="U15" s="775"/>
      <c r="V15" s="774"/>
      <c r="W15" s="775"/>
      <c r="X15" s="1816"/>
      <c r="Y15" s="3174"/>
      <c r="Z15" s="1817"/>
      <c r="AA15" s="1814">
        <v>1</v>
      </c>
      <c r="AB15" s="1814">
        <v>1</v>
      </c>
      <c r="AC15" s="1814">
        <v>1</v>
      </c>
    </row>
    <row r="16" spans="1:29" ht="42.75">
      <c r="A16" s="404"/>
      <c r="B16" s="631" t="s">
        <v>2665</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4"/>
      <c r="Q16" s="1813" t="str">
        <f>B16</f>
        <v>公共配套设施</v>
      </c>
      <c r="R16" s="774" t="s">
        <v>17</v>
      </c>
      <c r="S16" s="775">
        <f>F16</f>
        <v>100</v>
      </c>
      <c r="T16" s="774" t="s">
        <v>17</v>
      </c>
      <c r="U16" s="775">
        <f>H16</f>
        <v>100</v>
      </c>
      <c r="V16" s="774" t="s">
        <v>17</v>
      </c>
      <c r="W16" s="775">
        <f>J16</f>
        <v>100</v>
      </c>
      <c r="X16" s="1816"/>
      <c r="Y16" s="3174"/>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174"/>
      <c r="Q17" s="1813"/>
      <c r="R17" s="774"/>
      <c r="S17" s="775"/>
      <c r="T17" s="774"/>
      <c r="U17" s="775"/>
      <c r="V17" s="774"/>
      <c r="W17" s="775"/>
      <c r="X17" s="1816"/>
      <c r="Y17" s="3174"/>
      <c r="Z17" s="1817"/>
      <c r="AA17" s="1814">
        <v>1</v>
      </c>
      <c r="AB17" s="1814">
        <v>1</v>
      </c>
      <c r="AC17" s="1814">
        <v>1</v>
      </c>
    </row>
    <row r="18" spans="1:29" ht="28.5">
      <c r="A18" s="404"/>
      <c r="B18" s="633" t="s">
        <v>2666</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4"/>
      <c r="Q18" s="1813" t="str">
        <f>B18</f>
        <v>基础设施水平</v>
      </c>
      <c r="R18" s="774" t="s">
        <v>17</v>
      </c>
      <c r="S18" s="775">
        <f>F18</f>
        <v>100</v>
      </c>
      <c r="T18" s="774" t="s">
        <v>17</v>
      </c>
      <c r="U18" s="775">
        <f>H18</f>
        <v>100</v>
      </c>
      <c r="V18" s="774" t="s">
        <v>17</v>
      </c>
      <c r="W18" s="775">
        <f>J18</f>
        <v>100</v>
      </c>
      <c r="X18" s="1816"/>
      <c r="Y18" s="3174"/>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174"/>
      <c r="Q19" s="1813"/>
      <c r="R19" s="774"/>
      <c r="S19" s="775"/>
      <c r="T19" s="774"/>
      <c r="U19" s="775"/>
      <c r="V19" s="774"/>
      <c r="W19" s="775"/>
      <c r="X19" s="1816"/>
      <c r="Y19" s="3174"/>
      <c r="Z19" s="1817"/>
      <c r="AA19" s="1814">
        <v>1</v>
      </c>
      <c r="AB19" s="1814">
        <v>1</v>
      </c>
      <c r="AC19" s="1814">
        <v>1</v>
      </c>
    </row>
    <row r="20" spans="1:29" ht="57">
      <c r="A20" s="404"/>
      <c r="B20" s="631" t="s">
        <v>2687</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4"/>
      <c r="Q20" s="1813" t="str">
        <f>B20</f>
        <v>自然及人文环境</v>
      </c>
      <c r="R20" s="774" t="s">
        <v>17</v>
      </c>
      <c r="S20" s="775">
        <f>F20</f>
        <v>100</v>
      </c>
      <c r="T20" s="774" t="s">
        <v>17</v>
      </c>
      <c r="U20" s="775">
        <f>H20</f>
        <v>100</v>
      </c>
      <c r="V20" s="774" t="s">
        <v>17</v>
      </c>
      <c r="W20" s="775">
        <f>J20</f>
        <v>100</v>
      </c>
      <c r="X20" s="1816"/>
      <c r="Y20" s="317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4"/>
      <c r="Q21" s="1813"/>
      <c r="R21" s="774"/>
      <c r="S21" s="775"/>
      <c r="T21" s="774"/>
      <c r="U21" s="775"/>
      <c r="V21" s="774"/>
      <c r="W21" s="775"/>
      <c r="X21" s="1816"/>
      <c r="Y21" s="3174"/>
      <c r="Z21" s="1817"/>
      <c r="AA21" s="1814">
        <v>1</v>
      </c>
      <c r="AB21" s="1814">
        <v>1</v>
      </c>
      <c r="AC21" s="1814">
        <v>1</v>
      </c>
    </row>
    <row r="22" spans="1:29" ht="15">
      <c r="A22" s="404"/>
      <c r="B22" s="631" t="s">
        <v>2688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4"/>
      <c r="Q22" s="1813" t="str">
        <f>B22</f>
        <v>楼层</v>
      </c>
      <c r="R22" s="774" t="s">
        <v>17</v>
      </c>
      <c r="S22" s="775">
        <f>F22</f>
        <v>100</v>
      </c>
      <c r="T22" s="774" t="s">
        <v>17</v>
      </c>
      <c r="U22" s="775">
        <f>H22</f>
        <v>100</v>
      </c>
      <c r="V22" s="774" t="s">
        <v>17</v>
      </c>
      <c r="W22" s="775">
        <f>J22</f>
        <v>100</v>
      </c>
      <c r="X22" s="1816"/>
      <c r="Y22" s="317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4"/>
      <c r="Q23" s="1813">
        <f>B23</f>
        <v>111</v>
      </c>
      <c r="R23" s="774" t="s">
        <v>17</v>
      </c>
      <c r="S23" s="775">
        <f>F23</f>
        <v>100</v>
      </c>
      <c r="T23" s="774" t="s">
        <v>17</v>
      </c>
      <c r="U23" s="775">
        <f>H23</f>
        <v>100</v>
      </c>
      <c r="V23" s="774" t="s">
        <v>17</v>
      </c>
      <c r="W23" s="775">
        <f>J23</f>
        <v>100</v>
      </c>
      <c r="X23" s="1816"/>
      <c r="Y23" s="317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4"/>
      <c r="Q24" s="1813">
        <f t="shared" ref="Q24:Q36" si="11">B24</f>
        <v>111</v>
      </c>
      <c r="R24" s="774" t="s">
        <v>17</v>
      </c>
      <c r="S24" s="775">
        <f>F24</f>
        <v>100</v>
      </c>
      <c r="T24" s="774" t="s">
        <v>17</v>
      </c>
      <c r="U24" s="775">
        <f>H24</f>
        <v>100</v>
      </c>
      <c r="V24" s="774" t="s">
        <v>17</v>
      </c>
      <c r="W24" s="775">
        <f>J24</f>
        <v>100</v>
      </c>
      <c r="X24" s="1816"/>
      <c r="Y24" s="317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4"/>
      <c r="Q25" s="1798">
        <f t="shared" si="11"/>
        <v>111</v>
      </c>
      <c r="R25" s="770" t="s">
        <v>17</v>
      </c>
      <c r="S25" s="771">
        <f>F25</f>
        <v>100</v>
      </c>
      <c r="T25" s="770" t="s">
        <v>17</v>
      </c>
      <c r="U25" s="771">
        <f>H25</f>
        <v>100</v>
      </c>
      <c r="V25" s="770" t="s">
        <v>17</v>
      </c>
      <c r="W25" s="771">
        <f>J25</f>
        <v>100</v>
      </c>
      <c r="X25" s="772"/>
      <c r="Y25" s="3174"/>
      <c r="Z25" s="55">
        <f>Q25</f>
        <v>111</v>
      </c>
      <c r="AA25" s="1814">
        <f>D25/F25</f>
        <v>1</v>
      </c>
      <c r="AB25" s="1814">
        <f>D25/H25</f>
        <v>1</v>
      </c>
      <c r="AC25" s="1814">
        <f>D25/J25</f>
        <v>1</v>
      </c>
    </row>
    <row r="26" spans="1:29" ht="15">
      <c r="A26" s="652" t="s">
        <v>2540</v>
      </c>
      <c r="B26" s="70" t="s">
        <v>2689</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9" t="s">
        <v>2542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8" t="s">
        <v>2542</v>
      </c>
      <c r="Z26" s="1817" t="str">
        <f t="shared" ref="Z26:Z36" si="15">Q26</f>
        <v>配套类型</v>
      </c>
      <c r="AA26" s="1814">
        <f t="shared" si="3"/>
        <v>1</v>
      </c>
      <c r="AB26" s="1814">
        <f t="shared" si="4"/>
        <v>1</v>
      </c>
      <c r="AC26" s="1814">
        <f t="shared" si="5"/>
        <v>1</v>
      </c>
    </row>
    <row r="27" spans="1:29" s="471" customFormat="1" ht="15">
      <c r="A27" s="653"/>
      <c r="B27" s="654" t="s">
        <v>2690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8"/>
      <c r="Q27" s="776" t="str">
        <f t="shared" si="11"/>
        <v>项目停车位配比</v>
      </c>
      <c r="R27" s="777" t="s">
        <v>17</v>
      </c>
      <c r="S27" s="778">
        <f t="shared" si="12"/>
        <v>100</v>
      </c>
      <c r="T27" s="777" t="s">
        <v>17</v>
      </c>
      <c r="U27" s="778">
        <f t="shared" si="13"/>
        <v>100</v>
      </c>
      <c r="V27" s="777" t="s">
        <v>17</v>
      </c>
      <c r="W27" s="778">
        <f t="shared" si="14"/>
        <v>100</v>
      </c>
      <c r="X27" s="779"/>
      <c r="Y27" s="3178"/>
      <c r="Z27" s="780" t="str">
        <f t="shared" si="15"/>
        <v>项目停车位配比</v>
      </c>
      <c r="AA27" s="1814">
        <f t="shared" si="3"/>
        <v>1</v>
      </c>
      <c r="AB27" s="1814">
        <f t="shared" si="4"/>
        <v>1</v>
      </c>
      <c r="AC27" s="1814">
        <f t="shared" si="5"/>
        <v>1</v>
      </c>
    </row>
    <row r="28" spans="1:29" ht="15">
      <c r="A28" s="656"/>
      <c r="B28" s="654" t="s">
        <v>2691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8"/>
      <c r="Q28" s="1813" t="str">
        <f t="shared" si="11"/>
        <v>公共部分装修</v>
      </c>
      <c r="R28" s="774" t="s">
        <v>17</v>
      </c>
      <c r="S28" s="775">
        <f t="shared" si="12"/>
        <v>100</v>
      </c>
      <c r="T28" s="774" t="s">
        <v>17</v>
      </c>
      <c r="U28" s="775">
        <f t="shared" si="13"/>
        <v>100</v>
      </c>
      <c r="V28" s="774" t="s">
        <v>17</v>
      </c>
      <c r="W28" s="775">
        <f t="shared" si="14"/>
        <v>100</v>
      </c>
      <c r="X28" s="1816"/>
      <c r="Y28" s="3178"/>
      <c r="Z28" s="1817" t="str">
        <f t="shared" si="15"/>
        <v>公共部分装修</v>
      </c>
      <c r="AA28" s="1814">
        <f t="shared" si="3"/>
        <v>1</v>
      </c>
      <c r="AB28" s="1814">
        <f t="shared" si="4"/>
        <v>1</v>
      </c>
      <c r="AC28" s="1814">
        <f t="shared" si="5"/>
        <v>1</v>
      </c>
    </row>
    <row r="29" spans="1:29" ht="15">
      <c r="A29" s="656"/>
      <c r="B29" s="654" t="s">
        <v>2692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8"/>
      <c r="Q29" s="1813" t="str">
        <f t="shared" si="11"/>
        <v>成新率</v>
      </c>
      <c r="R29" s="774" t="s">
        <v>17</v>
      </c>
      <c r="S29" s="775" t="e">
        <f t="shared" si="12"/>
        <v>#N/A</v>
      </c>
      <c r="T29" s="774" t="s">
        <v>17</v>
      </c>
      <c r="U29" s="775" t="e">
        <f t="shared" si="13"/>
        <v>#N/A</v>
      </c>
      <c r="V29" s="774" t="s">
        <v>17</v>
      </c>
      <c r="W29" s="775" t="e">
        <f t="shared" si="14"/>
        <v>#N/A</v>
      </c>
      <c r="X29" s="1816"/>
      <c r="Y29" s="3178"/>
      <c r="Z29" s="1817" t="str">
        <f t="shared" si="15"/>
        <v>成新率</v>
      </c>
      <c r="AA29" s="1814" t="e">
        <f t="shared" si="3"/>
        <v>#N/A</v>
      </c>
      <c r="AB29" s="1814" t="e">
        <f t="shared" si="4"/>
        <v>#N/A</v>
      </c>
      <c r="AC29" s="1814" t="e">
        <f t="shared" si="5"/>
        <v>#N/A</v>
      </c>
    </row>
    <row r="30" spans="1:29" ht="15">
      <c r="A30" s="656"/>
      <c r="B30" s="654" t="s">
        <v>2693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8"/>
      <c r="Q30" s="1813" t="str">
        <f t="shared" si="11"/>
        <v>物业等级</v>
      </c>
      <c r="R30" s="774" t="s">
        <v>17</v>
      </c>
      <c r="S30" s="775">
        <f t="shared" si="12"/>
        <v>100</v>
      </c>
      <c r="T30" s="774" t="s">
        <v>17</v>
      </c>
      <c r="U30" s="775">
        <f t="shared" si="13"/>
        <v>100</v>
      </c>
      <c r="V30" s="774" t="s">
        <v>17</v>
      </c>
      <c r="W30" s="775">
        <f t="shared" si="14"/>
        <v>100</v>
      </c>
      <c r="X30" s="1816"/>
      <c r="Y30" s="3178"/>
      <c r="Z30" s="1817" t="str">
        <f t="shared" si="15"/>
        <v>物业等级</v>
      </c>
      <c r="AA30" s="1814">
        <f t="shared" si="3"/>
        <v>1</v>
      </c>
      <c r="AB30" s="1814">
        <f t="shared" si="4"/>
        <v>1</v>
      </c>
      <c r="AC30" s="1814">
        <f t="shared" si="5"/>
        <v>1</v>
      </c>
    </row>
    <row r="31" spans="1:29" s="117" customFormat="1" ht="15">
      <c r="A31" s="658"/>
      <c r="B31" s="654" t="s">
        <v>2694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8"/>
      <c r="Q31" s="1798" t="str">
        <f t="shared" si="11"/>
        <v>停车位面积</v>
      </c>
      <c r="R31" s="770" t="s">
        <v>17</v>
      </c>
      <c r="S31" s="771" t="e">
        <f t="shared" si="12"/>
        <v>#N/A</v>
      </c>
      <c r="T31" s="770" t="s">
        <v>17</v>
      </c>
      <c r="U31" s="771" t="e">
        <f t="shared" si="13"/>
        <v>#N/A</v>
      </c>
      <c r="V31" s="770" t="s">
        <v>17</v>
      </c>
      <c r="W31" s="771" t="e">
        <f t="shared" si="14"/>
        <v>#N/A</v>
      </c>
      <c r="X31" s="772"/>
      <c r="Y31" s="3178"/>
      <c r="Z31" s="55" t="str">
        <f t="shared" si="15"/>
        <v>停车位面积</v>
      </c>
      <c r="AA31" s="773" t="e">
        <f t="shared" si="3"/>
        <v>#N/A</v>
      </c>
      <c r="AB31" s="773" t="e">
        <f t="shared" si="4"/>
        <v>#N/A</v>
      </c>
      <c r="AC31" s="773" t="e">
        <f t="shared" si="5"/>
        <v>#N/A</v>
      </c>
    </row>
    <row r="32" spans="1:29" ht="15">
      <c r="A32" s="656"/>
      <c r="B32" s="654" t="s">
        <v>2695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8" t="s">
        <v>2542</v>
      </c>
      <c r="Q32" s="1813" t="str">
        <f t="shared" si="11"/>
        <v>车位类型</v>
      </c>
      <c r="R32" s="774" t="s">
        <v>17</v>
      </c>
      <c r="S32" s="775">
        <f t="shared" si="12"/>
        <v>100</v>
      </c>
      <c r="T32" s="774" t="s">
        <v>17</v>
      </c>
      <c r="U32" s="775">
        <f t="shared" si="13"/>
        <v>100</v>
      </c>
      <c r="V32" s="774" t="s">
        <v>17</v>
      </c>
      <c r="W32" s="775">
        <f t="shared" si="14"/>
        <v>100</v>
      </c>
      <c r="X32" s="1816"/>
      <c r="Y32" s="3178" t="s">
        <v>2542</v>
      </c>
      <c r="Z32" s="1817" t="str">
        <f t="shared" si="15"/>
        <v>车位类型</v>
      </c>
      <c r="AA32" s="1814">
        <f t="shared" si="3"/>
        <v>1</v>
      </c>
      <c r="AB32" s="1814">
        <f t="shared" si="4"/>
        <v>1</v>
      </c>
      <c r="AC32" s="1814">
        <f t="shared" si="5"/>
        <v>1</v>
      </c>
    </row>
    <row r="33" spans="1:29" ht="15">
      <c r="A33" s="656"/>
      <c r="B33" s="654" t="s">
        <v>2696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8"/>
      <c r="Q33" s="1813" t="str">
        <f t="shared" si="11"/>
        <v>是否直接入户</v>
      </c>
      <c r="R33" s="774" t="s">
        <v>17</v>
      </c>
      <c r="S33" s="775">
        <f t="shared" si="12"/>
        <v>100</v>
      </c>
      <c r="T33" s="774" t="s">
        <v>17</v>
      </c>
      <c r="U33" s="775">
        <f t="shared" si="13"/>
        <v>100</v>
      </c>
      <c r="V33" s="774" t="s">
        <v>17</v>
      </c>
      <c r="W33" s="775">
        <f t="shared" si="14"/>
        <v>100</v>
      </c>
      <c r="X33" s="1816"/>
      <c r="Y33" s="317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8"/>
      <c r="Q34" s="1813">
        <f t="shared" si="11"/>
        <v>111</v>
      </c>
      <c r="R34" s="774" t="s">
        <v>17</v>
      </c>
      <c r="S34" s="775">
        <f t="shared" si="12"/>
        <v>100</v>
      </c>
      <c r="T34" s="774" t="s">
        <v>17</v>
      </c>
      <c r="U34" s="775">
        <f t="shared" si="13"/>
        <v>100</v>
      </c>
      <c r="V34" s="774" t="s">
        <v>17</v>
      </c>
      <c r="W34" s="775">
        <f t="shared" si="14"/>
        <v>100</v>
      </c>
      <c r="X34" s="1816"/>
      <c r="Y34" s="317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8"/>
      <c r="Q35" s="776">
        <f t="shared" si="11"/>
        <v>111</v>
      </c>
      <c r="R35" s="777" t="s">
        <v>17</v>
      </c>
      <c r="S35" s="778">
        <f t="shared" si="12"/>
        <v>100</v>
      </c>
      <c r="T35" s="777" t="s">
        <v>17</v>
      </c>
      <c r="U35" s="778">
        <f t="shared" si="13"/>
        <v>100</v>
      </c>
      <c r="V35" s="777" t="s">
        <v>17</v>
      </c>
      <c r="W35" s="778">
        <f t="shared" si="14"/>
        <v>100</v>
      </c>
      <c r="X35" s="779"/>
      <c r="Y35" s="317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8"/>
      <c r="Q36" s="1813">
        <f t="shared" si="11"/>
        <v>111</v>
      </c>
      <c r="R36" s="774" t="s">
        <v>17</v>
      </c>
      <c r="S36" s="775">
        <f t="shared" si="12"/>
        <v>100</v>
      </c>
      <c r="T36" s="774" t="s">
        <v>17</v>
      </c>
      <c r="U36" s="775">
        <f t="shared" si="13"/>
        <v>100</v>
      </c>
      <c r="V36" s="774" t="s">
        <v>17</v>
      </c>
      <c r="W36" s="775">
        <f t="shared" si="14"/>
        <v>100</v>
      </c>
      <c r="X36" s="1816"/>
      <c r="Y36" s="3178"/>
      <c r="Z36" s="1817">
        <f t="shared" si="15"/>
        <v>111</v>
      </c>
      <c r="AA36" s="1814">
        <f t="shared" si="3"/>
        <v>1</v>
      </c>
      <c r="AB36" s="1814">
        <f t="shared" si="4"/>
        <v>1</v>
      </c>
      <c r="AC36" s="1814">
        <f t="shared" si="5"/>
        <v>1</v>
      </c>
    </row>
    <row r="37" spans="1:29" ht="15">
      <c r="A37" s="479" t="s">
        <v>2697</v>
      </c>
      <c r="B37" s="2699" t="s">
        <v>2698</v>
      </c>
      <c r="C37" s="1410" t="s">
        <v>1</v>
      </c>
      <c r="D37" s="1411"/>
      <c r="E37" s="1412"/>
      <c r="F37" s="1413"/>
      <c r="G37" s="1414"/>
      <c r="H37" s="1415"/>
      <c r="I37" s="1412"/>
      <c r="J37" s="1415"/>
      <c r="K37" s="619"/>
      <c r="L37" s="1146"/>
      <c r="M37" s="1147"/>
      <c r="N37" s="1134"/>
      <c r="O37" s="1147"/>
      <c r="P37" s="3171" t="str">
        <f>A37</f>
        <v>成交单价</v>
      </c>
      <c r="Q37" s="3171"/>
      <c r="R37" s="3172">
        <f>E37</f>
        <v>0</v>
      </c>
      <c r="S37" s="3172"/>
      <c r="T37" s="3172">
        <f>G37</f>
        <v>0</v>
      </c>
      <c r="U37" s="3172"/>
      <c r="V37" s="3172">
        <f>I37</f>
        <v>0</v>
      </c>
      <c r="W37" s="3172"/>
      <c r="X37" s="759"/>
      <c r="Y37" s="781"/>
      <c r="Z37" s="759"/>
      <c r="AA37" s="759"/>
      <c r="AB37" s="759"/>
      <c r="AC37" s="759"/>
    </row>
    <row r="38" spans="1:29" ht="15.75" thickBot="1">
      <c r="A38" s="486" t="s">
        <v>2699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1" t="str">
        <f>A38</f>
        <v>比较价值（元/平方米）</v>
      </c>
      <c r="Q38" s="3171"/>
      <c r="R38" s="3172" t="e">
        <f>IF(F1="售价",ROUND(PRODUCT(R37,AA7:AA36),0),ROUND(PRODUCT(R37,AA7:AA36),1))</f>
        <v>#DIV/0!</v>
      </c>
      <c r="S38" s="3172"/>
      <c r="T38" s="3172" t="e">
        <f>IF(F1="售价",ROUND(PRODUCT(T37,AB7:AB36),0),ROUND(PRODUCT(T37,AB7:AB36),1))</f>
        <v>#DIV/0!</v>
      </c>
      <c r="U38" s="3172"/>
      <c r="V38" s="3172" t="e">
        <f>IF(F1="售价",ROUND(PRODUCT(V37,AC7:AC36),0),ROUND(PRODUCT(V37,AC7:AC36),1))</f>
        <v>#DIV/0!</v>
      </c>
      <c r="W38" s="3172"/>
      <c r="X38" s="759"/>
      <c r="Y38" s="759"/>
      <c r="Z38" s="759"/>
      <c r="AA38" s="759"/>
      <c r="AB38" s="759"/>
      <c r="AC38" s="759"/>
    </row>
    <row r="39" spans="1:29" ht="15.75" thickBot="1">
      <c r="A39" s="492" t="s">
        <v>2700</v>
      </c>
      <c r="B39" s="493"/>
      <c r="C39" s="1420" t="e">
        <f>R39</f>
        <v>#DIV/0!</v>
      </c>
      <c r="D39" s="1420"/>
      <c r="E39" s="1420"/>
      <c r="F39" s="1420"/>
      <c r="G39" s="1420"/>
      <c r="H39" s="1420"/>
      <c r="I39" s="1420"/>
      <c r="J39" s="1420"/>
      <c r="K39" s="621"/>
      <c r="L39" s="1146"/>
      <c r="M39" s="1147"/>
      <c r="N39" s="1147"/>
      <c r="O39" s="1147"/>
      <c r="P39" s="3168" t="str">
        <f>A39</f>
        <v>估价对象XX用房的比较价值（楼面单价，元/平方米）</v>
      </c>
      <c r="Q39" s="3169"/>
      <c r="R39" s="3170" t="e">
        <f>IF(F1="售价",ROUND(AVERAGE(R38:V38),0),ROUND(AVERAGE(R38:V38),1))</f>
        <v>#DIV/0!</v>
      </c>
      <c r="S39" s="3170"/>
      <c r="T39" s="3170"/>
      <c r="U39" s="3170"/>
      <c r="V39" s="3170"/>
      <c r="W39" s="317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2701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2702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2703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2704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2705</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2562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2527</v>
      </c>
      <c r="B51" s="510"/>
      <c r="C51" s="522" t="s">
        <v>2629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2565</v>
      </c>
      <c r="B53" s="528" t="s">
        <v>2531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2534</v>
      </c>
      <c r="C55" s="539" t="s">
        <v>2566</v>
      </c>
      <c r="D55" s="539" t="s">
        <v>2567</v>
      </c>
      <c r="E55" s="539" t="s">
        <v>2568</v>
      </c>
      <c r="F55" s="539" t="s">
        <v>2569</v>
      </c>
      <c r="G55" s="539" t="s">
        <v>2570</v>
      </c>
      <c r="H55" s="539" t="s">
        <v>2571</v>
      </c>
      <c r="I55" s="539" t="s">
        <v>2572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23</v>
      </c>
      <c r="D56" s="544" t="s">
        <v>24</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2536</v>
      </c>
      <c r="B63" s="528" t="s">
        <v>2579</v>
      </c>
      <c r="C63" s="573" t="s">
        <v>2574</v>
      </c>
      <c r="D63" s="573" t="s">
        <v>2575</v>
      </c>
      <c r="E63" s="573" t="s">
        <v>2576</v>
      </c>
      <c r="F63" s="573" t="s">
        <v>2577</v>
      </c>
      <c r="G63" s="573" t="s">
        <v>2578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2580</v>
      </c>
      <c r="C65" s="578" t="s">
        <v>2574</v>
      </c>
      <c r="D65" s="578" t="s">
        <v>2575</v>
      </c>
      <c r="E65" s="578" t="s">
        <v>2576</v>
      </c>
      <c r="F65" s="578" t="s">
        <v>2577</v>
      </c>
      <c r="G65" s="578" t="s">
        <v>2578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2666</v>
      </c>
      <c r="C67" s="660" t="s">
        <v>2652</v>
      </c>
      <c r="D67" s="660" t="s">
        <v>2653</v>
      </c>
      <c r="E67" s="660" t="s">
        <v>2654</v>
      </c>
      <c r="F67" s="660" t="s">
        <v>2655</v>
      </c>
      <c r="G67" s="660" t="s">
        <v>2656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2586</v>
      </c>
      <c r="C69" s="578" t="s">
        <v>2574</v>
      </c>
      <c r="D69" s="578" t="s">
        <v>2575</v>
      </c>
      <c r="E69" s="578" t="s">
        <v>2576</v>
      </c>
      <c r="F69" s="578" t="s">
        <v>2577</v>
      </c>
      <c r="G69" s="578" t="s">
        <v>2578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2706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2540</v>
      </c>
      <c r="B79" s="528" t="s">
        <v>2707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2708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2593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2709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2710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2711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2712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2713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2684</v>
      </c>
      <c r="B1" s="1622"/>
      <c r="C1" s="1623" t="s">
        <v>2507</v>
      </c>
      <c r="D1" s="1624"/>
      <c r="E1" s="1633"/>
      <c r="F1" s="2588"/>
      <c r="G1" s="1634" t="s">
        <v>2620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2304</v>
      </c>
      <c r="B2" s="1421" t="e">
        <f ca="1">IF(C2="——",ROUND(C37*D3/10000,0),ROUND(C37*D3/10000,0)-D2)</f>
        <v>#DIV/0!</v>
      </c>
      <c r="C2" s="2590"/>
      <c r="D2" s="1127" t="e">
        <f ca="1">SUMIF(INDIRECT("'"&amp;F2&amp;"'"&amp;"!A:A"),"承租人权益价值",INDIRECT("'"&amp;F2&amp;"'"&amp;"!c:c"))</f>
        <v>#REF!</v>
      </c>
      <c r="E2" s="2591" t="s">
        <v>2305</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2306</v>
      </c>
      <c r="B3" s="609" t="e">
        <f ca="1">IF(C2="——",C37,ROUND(B2*10000/D3,0))</f>
        <v>#DIV/0!</v>
      </c>
      <c r="C3" s="400" t="s">
        <v>2621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2622</v>
      </c>
      <c r="B4" s="402"/>
      <c r="C4" s="3186" t="s">
        <v>2623</v>
      </c>
      <c r="D4" s="3187"/>
      <c r="E4" s="3188" t="s">
        <v>2624</v>
      </c>
      <c r="F4" s="3189"/>
      <c r="G4" s="3186" t="s">
        <v>2625</v>
      </c>
      <c r="H4" s="3187"/>
      <c r="I4" s="3186" t="s">
        <v>2626</v>
      </c>
      <c r="J4" s="3187"/>
      <c r="K4" s="610" t="s">
        <v>2627</v>
      </c>
      <c r="L4" s="1133"/>
      <c r="M4" s="1134"/>
      <c r="N4" s="1134"/>
      <c r="O4" s="1134"/>
      <c r="P4" s="3190" t="s">
        <v>2628</v>
      </c>
      <c r="Q4" s="3191"/>
      <c r="R4" s="3196" t="s">
        <v>2624</v>
      </c>
      <c r="S4" s="3197"/>
      <c r="T4" s="3196" t="s">
        <v>2625</v>
      </c>
      <c r="U4" s="3197"/>
      <c r="V4" s="3202" t="s">
        <v>2626</v>
      </c>
      <c r="W4" s="3202"/>
      <c r="X4" s="1816"/>
      <c r="Y4" s="3196" t="s">
        <v>2628</v>
      </c>
      <c r="Z4" s="3197"/>
      <c r="AA4" s="3183" t="s">
        <v>2624</v>
      </c>
      <c r="AB4" s="3184" t="s">
        <v>2625</v>
      </c>
      <c r="AC4" s="3183" t="s">
        <v>2626</v>
      </c>
    </row>
    <row r="5" spans="1:29" ht="15">
      <c r="A5" s="404"/>
      <c r="B5" s="405"/>
      <c r="C5" s="3205" t="s">
        <v>2519</v>
      </c>
      <c r="D5" s="3206"/>
      <c r="E5" s="3212" t="s">
        <v>2520</v>
      </c>
      <c r="F5" s="3213"/>
      <c r="G5" s="3205" t="s">
        <v>2521</v>
      </c>
      <c r="H5" s="3206"/>
      <c r="I5" s="3205" t="s">
        <v>2522</v>
      </c>
      <c r="J5" s="3206"/>
      <c r="K5" s="610"/>
      <c r="L5" s="1133"/>
      <c r="M5" s="1134"/>
      <c r="N5" s="1134"/>
      <c r="O5" s="1134"/>
      <c r="P5" s="3192"/>
      <c r="Q5" s="3193"/>
      <c r="R5" s="3198"/>
      <c r="S5" s="3199"/>
      <c r="T5" s="3198"/>
      <c r="U5" s="3199"/>
      <c r="V5" s="3202"/>
      <c r="W5" s="3202"/>
      <c r="X5" s="1816"/>
      <c r="Y5" s="3198"/>
      <c r="Z5" s="3199"/>
      <c r="AA5" s="3184"/>
      <c r="AB5" s="3184"/>
      <c r="AC5" s="3184"/>
    </row>
    <row r="6" spans="1:29" ht="15.75" thickBot="1">
      <c r="A6" s="406"/>
      <c r="B6" s="407"/>
      <c r="C6" s="3203" t="s">
        <v>2523</v>
      </c>
      <c r="D6" s="3204"/>
      <c r="E6" s="3210" t="s">
        <v>2523</v>
      </c>
      <c r="F6" s="3211"/>
      <c r="G6" s="3203" t="s">
        <v>2523</v>
      </c>
      <c r="H6" s="3204"/>
      <c r="I6" s="3203" t="s">
        <v>2523</v>
      </c>
      <c r="J6" s="3204"/>
      <c r="K6" s="610" t="s">
        <v>2524</v>
      </c>
      <c r="L6" s="1133"/>
      <c r="M6" s="1134"/>
      <c r="N6" s="1134"/>
      <c r="O6" s="1134"/>
      <c r="P6" s="3194"/>
      <c r="Q6" s="3195"/>
      <c r="R6" s="3198"/>
      <c r="S6" s="3199"/>
      <c r="T6" s="3200"/>
      <c r="U6" s="3201"/>
      <c r="V6" s="3202"/>
      <c r="W6" s="3202"/>
      <c r="X6" s="1816"/>
      <c r="Y6" s="3200"/>
      <c r="Z6" s="3201"/>
      <c r="AA6" s="3185"/>
      <c r="AB6" s="3185"/>
      <c r="AC6" s="3185"/>
    </row>
    <row r="7" spans="1:29" s="117" customFormat="1" ht="15.75" thickBot="1">
      <c r="A7" s="408" t="s">
        <v>2525</v>
      </c>
      <c r="B7" s="409"/>
      <c r="C7" s="410">
        <f>'数据-取费表'!B2</f>
        <v>43200</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207" t="s">
        <v>2526</v>
      </c>
      <c r="Q7" s="3209"/>
      <c r="R7" s="770" t="s">
        <v>17</v>
      </c>
      <c r="S7" s="771">
        <f t="shared" ref="S7:S14" si="0">F7</f>
        <v>0</v>
      </c>
      <c r="T7" s="770" t="s">
        <v>17</v>
      </c>
      <c r="U7" s="771">
        <f t="shared" ref="U7:U14" si="1">H7</f>
        <v>0</v>
      </c>
      <c r="V7" s="770" t="s">
        <v>17</v>
      </c>
      <c r="W7" s="771">
        <f t="shared" ref="W7:W14" si="2">J7</f>
        <v>0</v>
      </c>
      <c r="X7" s="772"/>
      <c r="Y7" s="3207" t="s">
        <v>2526</v>
      </c>
      <c r="Z7" s="3208"/>
      <c r="AA7" s="773" t="e">
        <f>D7/F7</f>
        <v>#DIV/0!</v>
      </c>
      <c r="AB7" s="773" t="e">
        <f>D7/H7</f>
        <v>#DIV/0!</v>
      </c>
      <c r="AC7" s="773" t="e">
        <f>D7/J7</f>
        <v>#DIV/0!</v>
      </c>
    </row>
    <row r="8" spans="1:29" s="117" customFormat="1" ht="15.75" thickBot="1">
      <c r="A8" s="408" t="s">
        <v>2527</v>
      </c>
      <c r="B8" s="409"/>
      <c r="C8" s="414" t="s">
        <v>2629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7" t="s">
        <v>2529</v>
      </c>
      <c r="Q8" s="3208"/>
      <c r="R8" s="770" t="s">
        <v>17</v>
      </c>
      <c r="S8" s="771">
        <f t="shared" si="0"/>
        <v>0</v>
      </c>
      <c r="T8" s="770" t="s">
        <v>17</v>
      </c>
      <c r="U8" s="771">
        <f t="shared" si="1"/>
        <v>0</v>
      </c>
      <c r="V8" s="770" t="s">
        <v>17</v>
      </c>
      <c r="W8" s="771">
        <f t="shared" si="2"/>
        <v>0</v>
      </c>
      <c r="X8" s="772"/>
      <c r="Y8" s="3207" t="s">
        <v>2529</v>
      </c>
      <c r="Z8" s="3208"/>
      <c r="AA8" s="773" t="e">
        <f t="shared" ref="AA8:AA34" si="3">D8/F8</f>
        <v>#DIV/0!</v>
      </c>
      <c r="AB8" s="773" t="e">
        <f t="shared" ref="AB8:AB34" si="4">D8/H8</f>
        <v>#DIV/0!</v>
      </c>
      <c r="AC8" s="773" t="e">
        <f t="shared" ref="AC8:AC34" si="5">D8/J8</f>
        <v>#DIV/0!</v>
      </c>
    </row>
    <row r="9" spans="1:29" s="117" customFormat="1">
      <c r="A9" s="415" t="s">
        <v>2530</v>
      </c>
      <c r="B9" s="71" t="s">
        <v>2531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1" t="s">
        <v>2532</v>
      </c>
      <c r="Q9" s="1798" t="str">
        <f t="shared" ref="Q9:Q14" si="6">B9</f>
        <v>用途</v>
      </c>
      <c r="R9" s="770" t="s">
        <v>17</v>
      </c>
      <c r="S9" s="771">
        <f t="shared" si="0"/>
        <v>100</v>
      </c>
      <c r="T9" s="770" t="s">
        <v>17</v>
      </c>
      <c r="U9" s="771">
        <f t="shared" si="1"/>
        <v>100</v>
      </c>
      <c r="V9" s="770" t="s">
        <v>17</v>
      </c>
      <c r="W9" s="771">
        <f t="shared" si="2"/>
        <v>100</v>
      </c>
      <c r="X9" s="772"/>
      <c r="Y9" s="2996" t="s">
        <v>2533</v>
      </c>
      <c r="Z9" s="55" t="str">
        <f t="shared" ref="Z9:Z14" si="7">Q9</f>
        <v>用途</v>
      </c>
      <c r="AA9" s="773">
        <f t="shared" si="3"/>
        <v>1</v>
      </c>
      <c r="AB9" s="773">
        <f t="shared" si="4"/>
        <v>1</v>
      </c>
      <c r="AC9" s="773">
        <f t="shared" si="5"/>
        <v>1</v>
      </c>
    </row>
    <row r="10" spans="1:29" s="427" customFormat="1" ht="27">
      <c r="A10" s="421"/>
      <c r="B10" s="422" t="s">
        <v>2534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1"/>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1"/>
      <c r="Q11" s="1798">
        <f t="shared" si="6"/>
        <v>111</v>
      </c>
      <c r="R11" s="770" t="s">
        <v>17</v>
      </c>
      <c r="S11" s="771">
        <f t="shared" si="0"/>
        <v>100</v>
      </c>
      <c r="T11" s="770" t="s">
        <v>17</v>
      </c>
      <c r="U11" s="771">
        <f t="shared" si="1"/>
        <v>100</v>
      </c>
      <c r="V11" s="770" t="s">
        <v>17</v>
      </c>
      <c r="W11" s="771">
        <f t="shared" si="2"/>
        <v>100</v>
      </c>
      <c r="X11" s="772"/>
      <c r="Y11" s="2996"/>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1"/>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85.5">
      <c r="A14" s="440" t="s">
        <v>2536</v>
      </c>
      <c r="B14" s="69" t="s">
        <v>2686</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3" t="s">
        <v>2537</v>
      </c>
      <c r="Q14" s="1813" t="str">
        <f t="shared" si="6"/>
        <v>交通便捷度</v>
      </c>
      <c r="R14" s="774" t="s">
        <v>17</v>
      </c>
      <c r="S14" s="775">
        <f t="shared" si="0"/>
        <v>100</v>
      </c>
      <c r="T14" s="774" t="s">
        <v>17</v>
      </c>
      <c r="U14" s="775">
        <f t="shared" si="1"/>
        <v>100</v>
      </c>
      <c r="V14" s="774" t="s">
        <v>17</v>
      </c>
      <c r="W14" s="775">
        <f t="shared" si="2"/>
        <v>100</v>
      </c>
      <c r="X14" s="1816"/>
      <c r="Y14" s="3173" t="s">
        <v>2537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4"/>
      <c r="Q15" s="1813"/>
      <c r="R15" s="774"/>
      <c r="S15" s="775"/>
      <c r="T15" s="774"/>
      <c r="U15" s="775"/>
      <c r="V15" s="774"/>
      <c r="W15" s="775"/>
      <c r="X15" s="1816"/>
      <c r="Y15" s="3174"/>
      <c r="Z15" s="1817"/>
      <c r="AA15" s="1814">
        <v>1</v>
      </c>
      <c r="AB15" s="1814">
        <v>1</v>
      </c>
      <c r="AC15" s="1814">
        <v>1</v>
      </c>
    </row>
    <row r="16" spans="1:29" ht="42.75">
      <c r="A16" s="428"/>
      <c r="B16" s="451" t="s">
        <v>2665</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4"/>
      <c r="Q16" s="1813" t="str">
        <f>B16</f>
        <v>公共配套设施</v>
      </c>
      <c r="R16" s="774" t="s">
        <v>17</v>
      </c>
      <c r="S16" s="775">
        <f>F16</f>
        <v>100</v>
      </c>
      <c r="T16" s="774" t="s">
        <v>17</v>
      </c>
      <c r="U16" s="775">
        <f>H16</f>
        <v>100</v>
      </c>
      <c r="V16" s="774" t="s">
        <v>17</v>
      </c>
      <c r="W16" s="775">
        <f>J16</f>
        <v>100</v>
      </c>
      <c r="X16" s="1816"/>
      <c r="Y16" s="3174"/>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174"/>
      <c r="Q17" s="1813"/>
      <c r="R17" s="774"/>
      <c r="S17" s="775"/>
      <c r="T17" s="774"/>
      <c r="U17" s="775"/>
      <c r="V17" s="774"/>
      <c r="W17" s="775"/>
      <c r="X17" s="1816"/>
      <c r="Y17" s="3174"/>
      <c r="Z17" s="1817"/>
      <c r="AA17" s="1814">
        <v>1</v>
      </c>
      <c r="AB17" s="1814">
        <v>1</v>
      </c>
      <c r="AC17" s="1814">
        <v>1</v>
      </c>
    </row>
    <row r="18" spans="1:29" ht="28.5">
      <c r="A18" s="428"/>
      <c r="B18" s="1387" t="s">
        <v>2666</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4"/>
      <c r="Q18" s="1813" t="str">
        <f>B18</f>
        <v>基础设施水平</v>
      </c>
      <c r="R18" s="774" t="s">
        <v>17</v>
      </c>
      <c r="S18" s="775">
        <f>F18</f>
        <v>100</v>
      </c>
      <c r="T18" s="774" t="s">
        <v>17</v>
      </c>
      <c r="U18" s="775">
        <f>H18</f>
        <v>100</v>
      </c>
      <c r="V18" s="774" t="s">
        <v>17</v>
      </c>
      <c r="W18" s="775">
        <f>J18</f>
        <v>100</v>
      </c>
      <c r="X18" s="1816"/>
      <c r="Y18" s="3174"/>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174"/>
      <c r="Q19" s="1813"/>
      <c r="R19" s="774"/>
      <c r="S19" s="775"/>
      <c r="T19" s="774"/>
      <c r="U19" s="775"/>
      <c r="V19" s="774"/>
      <c r="W19" s="775"/>
      <c r="X19" s="1816"/>
      <c r="Y19" s="3174"/>
      <c r="Z19" s="1817"/>
      <c r="AA19" s="1814">
        <v>1</v>
      </c>
      <c r="AB19" s="1814">
        <v>1</v>
      </c>
      <c r="AC19" s="1814">
        <v>1</v>
      </c>
    </row>
    <row r="20" spans="1:29" ht="57">
      <c r="A20" s="428"/>
      <c r="B20" s="451" t="s">
        <v>2687</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4"/>
      <c r="Q20" s="1813" t="str">
        <f>B20</f>
        <v>自然及人文环境</v>
      </c>
      <c r="R20" s="774" t="s">
        <v>17</v>
      </c>
      <c r="S20" s="775">
        <f>F20</f>
        <v>100</v>
      </c>
      <c r="T20" s="774" t="s">
        <v>17</v>
      </c>
      <c r="U20" s="775">
        <f>H20</f>
        <v>100</v>
      </c>
      <c r="V20" s="774" t="s">
        <v>17</v>
      </c>
      <c r="W20" s="775">
        <f>J20</f>
        <v>100</v>
      </c>
      <c r="X20" s="1816"/>
      <c r="Y20" s="317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4"/>
      <c r="Q21" s="1813"/>
      <c r="R21" s="774"/>
      <c r="S21" s="775"/>
      <c r="T21" s="774"/>
      <c r="U21" s="775"/>
      <c r="V21" s="774"/>
      <c r="W21" s="775"/>
      <c r="X21" s="1816"/>
      <c r="Y21" s="3174"/>
      <c r="Z21" s="1817"/>
      <c r="AA21" s="1814">
        <v>1</v>
      </c>
      <c r="AB21" s="1814">
        <v>1</v>
      </c>
      <c r="AC21" s="1814">
        <v>1</v>
      </c>
    </row>
    <row r="22" spans="1:29" ht="15">
      <c r="A22" s="428"/>
      <c r="B22" s="451" t="s">
        <v>2688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4"/>
      <c r="Q22" s="1813" t="str">
        <f>B22</f>
        <v>楼层</v>
      </c>
      <c r="R22" s="774" t="s">
        <v>17</v>
      </c>
      <c r="S22" s="775">
        <f>F22</f>
        <v>100</v>
      </c>
      <c r="T22" s="774" t="s">
        <v>17</v>
      </c>
      <c r="U22" s="775">
        <f>H22</f>
        <v>100</v>
      </c>
      <c r="V22" s="774" t="s">
        <v>17</v>
      </c>
      <c r="W22" s="775">
        <f>J22</f>
        <v>100</v>
      </c>
      <c r="X22" s="1816"/>
      <c r="Y22" s="3174"/>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4"/>
      <c r="Q23" s="1813">
        <f>B23</f>
        <v>111</v>
      </c>
      <c r="R23" s="774" t="s">
        <v>17</v>
      </c>
      <c r="S23" s="775">
        <f>F23</f>
        <v>100</v>
      </c>
      <c r="T23" s="774" t="s">
        <v>17</v>
      </c>
      <c r="U23" s="775">
        <f>H23</f>
        <v>100</v>
      </c>
      <c r="V23" s="774" t="s">
        <v>17</v>
      </c>
      <c r="W23" s="775">
        <f>J23</f>
        <v>100</v>
      </c>
      <c r="X23" s="1816"/>
      <c r="Y23" s="3174"/>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4"/>
      <c r="Q24" s="1813">
        <f t="shared" ref="Q24:Q34" si="11">B24</f>
        <v>111</v>
      </c>
      <c r="R24" s="774" t="s">
        <v>17</v>
      </c>
      <c r="S24" s="775">
        <f>F24</f>
        <v>100</v>
      </c>
      <c r="T24" s="774" t="s">
        <v>17</v>
      </c>
      <c r="U24" s="775">
        <f>H24</f>
        <v>100</v>
      </c>
      <c r="V24" s="774" t="s">
        <v>17</v>
      </c>
      <c r="W24" s="775">
        <f>J24</f>
        <v>100</v>
      </c>
      <c r="X24" s="1816"/>
      <c r="Y24" s="3174"/>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174"/>
      <c r="Q25" s="1798">
        <f t="shared" si="11"/>
        <v>111</v>
      </c>
      <c r="R25" s="770" t="s">
        <v>17</v>
      </c>
      <c r="S25" s="771">
        <f>F25</f>
        <v>100</v>
      </c>
      <c r="T25" s="770" t="s">
        <v>17</v>
      </c>
      <c r="U25" s="771">
        <f>H25</f>
        <v>100</v>
      </c>
      <c r="V25" s="770" t="s">
        <v>17</v>
      </c>
      <c r="W25" s="771">
        <f>J25</f>
        <v>100</v>
      </c>
      <c r="X25" s="772"/>
      <c r="Y25" s="3174"/>
      <c r="Z25" s="55">
        <f>Q25</f>
        <v>111</v>
      </c>
      <c r="AA25" s="1814">
        <f>D25/F25</f>
        <v>1</v>
      </c>
      <c r="AB25" s="1814">
        <f>D25/H25</f>
        <v>1</v>
      </c>
      <c r="AC25" s="1814">
        <f>D25/J25</f>
        <v>1</v>
      </c>
    </row>
    <row r="26" spans="1:29" ht="15">
      <c r="A26" s="466" t="s">
        <v>2540</v>
      </c>
      <c r="B26" s="71" t="s">
        <v>2691</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29" t="s">
        <v>2542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8" t="s">
        <v>2542</v>
      </c>
      <c r="Z26" s="1817" t="str">
        <f t="shared" ref="Z26:Z34" si="15">Q26</f>
        <v>公共部分装修</v>
      </c>
      <c r="AA26" s="1814">
        <f t="shared" si="3"/>
        <v>1</v>
      </c>
      <c r="AB26" s="1814">
        <f t="shared" si="4"/>
        <v>1</v>
      </c>
      <c r="AC26" s="1814">
        <f t="shared" si="5"/>
        <v>1</v>
      </c>
    </row>
    <row r="27" spans="1:29" s="471" customFormat="1" ht="15">
      <c r="A27" s="468"/>
      <c r="B27" s="422" t="s">
        <v>2692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8"/>
      <c r="Q27" s="776" t="str">
        <f t="shared" si="11"/>
        <v>成新率</v>
      </c>
      <c r="R27" s="777" t="s">
        <v>17</v>
      </c>
      <c r="S27" s="778" t="e">
        <f t="shared" si="12"/>
        <v>#N/A</v>
      </c>
      <c r="T27" s="777" t="s">
        <v>17</v>
      </c>
      <c r="U27" s="778" t="e">
        <f t="shared" si="13"/>
        <v>#N/A</v>
      </c>
      <c r="V27" s="777" t="s">
        <v>17</v>
      </c>
      <c r="W27" s="778" t="e">
        <f t="shared" si="14"/>
        <v>#N/A</v>
      </c>
      <c r="X27" s="779"/>
      <c r="Y27" s="3178"/>
      <c r="Z27" s="780" t="str">
        <f t="shared" si="15"/>
        <v>成新率</v>
      </c>
      <c r="AA27" s="1814" t="e">
        <f t="shared" si="3"/>
        <v>#N/A</v>
      </c>
      <c r="AB27" s="1814" t="e">
        <f t="shared" si="4"/>
        <v>#N/A</v>
      </c>
      <c r="AC27" s="1814" t="e">
        <f t="shared" si="5"/>
        <v>#N/A</v>
      </c>
    </row>
    <row r="28" spans="1:29" ht="15">
      <c r="A28" s="472"/>
      <c r="B28" s="422" t="s">
        <v>2693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8"/>
      <c r="Q28" s="1813" t="str">
        <f t="shared" si="11"/>
        <v>物业等级</v>
      </c>
      <c r="R28" s="774" t="s">
        <v>17</v>
      </c>
      <c r="S28" s="775">
        <f t="shared" si="12"/>
        <v>100</v>
      </c>
      <c r="T28" s="774" t="s">
        <v>17</v>
      </c>
      <c r="U28" s="775">
        <f t="shared" si="13"/>
        <v>100</v>
      </c>
      <c r="V28" s="774" t="s">
        <v>17</v>
      </c>
      <c r="W28" s="775">
        <f t="shared" si="14"/>
        <v>100</v>
      </c>
      <c r="X28" s="1816"/>
      <c r="Y28" s="3178"/>
      <c r="Z28" s="1817" t="str">
        <f t="shared" si="15"/>
        <v>物业等级</v>
      </c>
      <c r="AA28" s="1814">
        <f t="shared" si="3"/>
        <v>1</v>
      </c>
      <c r="AB28" s="1814">
        <f t="shared" si="4"/>
        <v>1</v>
      </c>
      <c r="AC28" s="1814">
        <f t="shared" si="5"/>
        <v>1</v>
      </c>
    </row>
    <row r="29" spans="1:29" ht="15">
      <c r="A29" s="472"/>
      <c r="B29" s="422" t="s">
        <v>2714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8"/>
      <c r="Q29" s="1813" t="str">
        <f t="shared" si="11"/>
        <v>有无电梯</v>
      </c>
      <c r="R29" s="774" t="s">
        <v>17</v>
      </c>
      <c r="S29" s="775">
        <f t="shared" si="12"/>
        <v>100</v>
      </c>
      <c r="T29" s="774" t="s">
        <v>17</v>
      </c>
      <c r="U29" s="775">
        <f t="shared" si="13"/>
        <v>100</v>
      </c>
      <c r="V29" s="774" t="s">
        <v>17</v>
      </c>
      <c r="W29" s="775">
        <f t="shared" si="14"/>
        <v>100</v>
      </c>
      <c r="X29" s="1816"/>
      <c r="Y29" s="3178"/>
      <c r="Z29" s="1817" t="str">
        <f t="shared" si="15"/>
        <v>有无电梯</v>
      </c>
      <c r="AA29" s="1814">
        <f t="shared" si="3"/>
        <v>1</v>
      </c>
      <c r="AB29" s="1814">
        <f t="shared" si="4"/>
        <v>1</v>
      </c>
      <c r="AC29" s="1814">
        <f t="shared" si="5"/>
        <v>1</v>
      </c>
    </row>
    <row r="30" spans="1:29" ht="15">
      <c r="A30" s="472"/>
      <c r="B30" s="422" t="s">
        <v>2715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8"/>
      <c r="Q30" s="1813" t="str">
        <f t="shared" si="11"/>
        <v>建筑面积</v>
      </c>
      <c r="R30" s="774" t="s">
        <v>17</v>
      </c>
      <c r="S30" s="775" t="e">
        <f t="shared" si="12"/>
        <v>#N/A</v>
      </c>
      <c r="T30" s="774" t="s">
        <v>17</v>
      </c>
      <c r="U30" s="775" t="e">
        <f t="shared" si="13"/>
        <v>#N/A</v>
      </c>
      <c r="V30" s="774" t="s">
        <v>17</v>
      </c>
      <c r="W30" s="775" t="e">
        <f t="shared" si="14"/>
        <v>#N/A</v>
      </c>
      <c r="X30" s="1816"/>
      <c r="Y30" s="3178"/>
      <c r="Z30" s="1817" t="str">
        <f t="shared" si="15"/>
        <v>建筑面积</v>
      </c>
      <c r="AA30" s="1814" t="e">
        <f t="shared" si="3"/>
        <v>#N/A</v>
      </c>
      <c r="AB30" s="1814" t="e">
        <f t="shared" si="4"/>
        <v>#N/A</v>
      </c>
      <c r="AC30" s="1814" t="e">
        <f t="shared" si="5"/>
        <v>#N/A</v>
      </c>
    </row>
    <row r="31" spans="1:29" s="117" customFormat="1" ht="15">
      <c r="A31" s="473"/>
      <c r="B31" s="422" t="s">
        <v>2716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8"/>
      <c r="Q31" s="1798" t="str">
        <f t="shared" si="11"/>
        <v>是否封闭</v>
      </c>
      <c r="R31" s="770" t="s">
        <v>17</v>
      </c>
      <c r="S31" s="771">
        <f t="shared" si="12"/>
        <v>100</v>
      </c>
      <c r="T31" s="770" t="s">
        <v>17</v>
      </c>
      <c r="U31" s="771">
        <f t="shared" si="13"/>
        <v>100</v>
      </c>
      <c r="V31" s="770" t="s">
        <v>17</v>
      </c>
      <c r="W31" s="771">
        <f t="shared" si="14"/>
        <v>100</v>
      </c>
      <c r="X31" s="772"/>
      <c r="Y31" s="3178"/>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8" t="s">
        <v>2542</v>
      </c>
      <c r="Q32" s="1813">
        <f t="shared" si="11"/>
        <v>111</v>
      </c>
      <c r="R32" s="774" t="s">
        <v>17</v>
      </c>
      <c r="S32" s="775">
        <f t="shared" si="12"/>
        <v>100</v>
      </c>
      <c r="T32" s="774" t="s">
        <v>17</v>
      </c>
      <c r="U32" s="775">
        <f t="shared" si="13"/>
        <v>100</v>
      </c>
      <c r="V32" s="774" t="s">
        <v>17</v>
      </c>
      <c r="W32" s="775">
        <f t="shared" si="14"/>
        <v>100</v>
      </c>
      <c r="X32" s="1816"/>
      <c r="Y32" s="3178" t="s">
        <v>2542</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8"/>
      <c r="Q33" s="1813">
        <f t="shared" si="11"/>
        <v>111</v>
      </c>
      <c r="R33" s="774" t="s">
        <v>17</v>
      </c>
      <c r="S33" s="775">
        <f t="shared" si="12"/>
        <v>100</v>
      </c>
      <c r="T33" s="774" t="s">
        <v>17</v>
      </c>
      <c r="U33" s="775">
        <f t="shared" si="13"/>
        <v>100</v>
      </c>
      <c r="V33" s="774" t="s">
        <v>17</v>
      </c>
      <c r="W33" s="775">
        <f t="shared" si="14"/>
        <v>100</v>
      </c>
      <c r="X33" s="1816"/>
      <c r="Y33" s="3178"/>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178"/>
      <c r="Q34" s="1813">
        <f t="shared" si="11"/>
        <v>111</v>
      </c>
      <c r="R34" s="774" t="s">
        <v>17</v>
      </c>
      <c r="S34" s="775">
        <f t="shared" si="12"/>
        <v>100</v>
      </c>
      <c r="T34" s="774" t="s">
        <v>17</v>
      </c>
      <c r="U34" s="775">
        <f t="shared" si="13"/>
        <v>100</v>
      </c>
      <c r="V34" s="774" t="s">
        <v>17</v>
      </c>
      <c r="W34" s="775">
        <f t="shared" si="14"/>
        <v>100</v>
      </c>
      <c r="X34" s="1816"/>
      <c r="Y34" s="3178"/>
      <c r="Z34" s="1817">
        <f t="shared" si="15"/>
        <v>111</v>
      </c>
      <c r="AA34" s="1814">
        <f t="shared" si="3"/>
        <v>1</v>
      </c>
      <c r="AB34" s="1814">
        <f t="shared" si="4"/>
        <v>1</v>
      </c>
      <c r="AC34" s="1814">
        <f t="shared" si="5"/>
        <v>1</v>
      </c>
    </row>
    <row r="35" spans="1:29" ht="15">
      <c r="A35" s="479" t="s">
        <v>2554</v>
      </c>
      <c r="B35" s="480"/>
      <c r="C35" s="1410" t="s">
        <v>1</v>
      </c>
      <c r="D35" s="1411"/>
      <c r="E35" s="1412"/>
      <c r="F35" s="1413"/>
      <c r="G35" s="1414"/>
      <c r="H35" s="1415"/>
      <c r="I35" s="1412"/>
      <c r="J35" s="1415"/>
      <c r="K35" s="783"/>
      <c r="L35" s="1146"/>
      <c r="M35" s="1147"/>
      <c r="N35" s="1134"/>
      <c r="O35" s="1147"/>
      <c r="P35" s="3171" t="str">
        <f>A35</f>
        <v>成交单价（元/平方米）</v>
      </c>
      <c r="Q35" s="3171"/>
      <c r="R35" s="3172">
        <f>E35</f>
        <v>0</v>
      </c>
      <c r="S35" s="3172"/>
      <c r="T35" s="3172">
        <f>G35</f>
        <v>0</v>
      </c>
      <c r="U35" s="3172"/>
      <c r="V35" s="3172">
        <f>I35</f>
        <v>0</v>
      </c>
      <c r="W35" s="3172"/>
      <c r="X35" s="759"/>
      <c r="Y35" s="781"/>
      <c r="Z35" s="759"/>
      <c r="AA35" s="759"/>
      <c r="AB35" s="759"/>
      <c r="AC35" s="759"/>
    </row>
    <row r="36" spans="1:29" ht="15.75" thickBot="1">
      <c r="A36" s="486" t="s">
        <v>2646</v>
      </c>
      <c r="B36" s="487"/>
      <c r="C36" s="1416" t="e">
        <f>R37</f>
        <v>#DIV/0!</v>
      </c>
      <c r="D36" s="1417"/>
      <c r="E36" s="1418" t="e">
        <f>R36</f>
        <v>#DIV/0!</v>
      </c>
      <c r="F36" s="1418"/>
      <c r="G36" s="1416" t="e">
        <f>T36</f>
        <v>#DIV/0!</v>
      </c>
      <c r="H36" s="1417"/>
      <c r="I36" s="1418" t="e">
        <f>V36</f>
        <v>#DIV/0!</v>
      </c>
      <c r="J36" s="1417"/>
      <c r="K36" s="784"/>
      <c r="L36" s="1146"/>
      <c r="M36" s="1147"/>
      <c r="N36" s="1134"/>
      <c r="O36" s="1147"/>
      <c r="P36" s="3171" t="str">
        <f>A36</f>
        <v>比较价值（元/平方米）</v>
      </c>
      <c r="Q36" s="3171"/>
      <c r="R36" s="3172" t="e">
        <f>IF(F1="售价",ROUND(PRODUCT(R35,AA7:AA34),0),ROUND(PRODUCT(R35,AA7:AA34),1))</f>
        <v>#DIV/0!</v>
      </c>
      <c r="S36" s="3172"/>
      <c r="T36" s="3172" t="e">
        <f>IF(F1="售价",ROUND(PRODUCT(T35,AB7:AB34),0),ROUND(PRODUCT(T35,AB7:AB34),1))</f>
        <v>#DIV/0!</v>
      </c>
      <c r="U36" s="3172"/>
      <c r="V36" s="3172" t="e">
        <f>IF(F1="售价",ROUND(PRODUCT(V35,AC7:AC34),0),ROUND(PRODUCT(V35,AC7:AC34),1))</f>
        <v>#DIV/0!</v>
      </c>
      <c r="W36" s="3172"/>
      <c r="X36" s="759"/>
      <c r="Y36" s="759"/>
      <c r="Z36" s="759"/>
      <c r="AA36" s="759"/>
      <c r="AB36" s="759"/>
      <c r="AC36" s="759"/>
    </row>
    <row r="37" spans="1:29" ht="15.75" thickBot="1">
      <c r="A37" s="492" t="s">
        <v>2647</v>
      </c>
      <c r="B37" s="493"/>
      <c r="C37" s="1420" t="e">
        <f>R37</f>
        <v>#DIV/0!</v>
      </c>
      <c r="D37" s="1420"/>
      <c r="E37" s="1420"/>
      <c r="F37" s="1420"/>
      <c r="G37" s="1420"/>
      <c r="H37" s="1420"/>
      <c r="I37" s="1420"/>
      <c r="J37" s="1420"/>
      <c r="K37" s="785"/>
      <c r="L37" s="1146"/>
      <c r="M37" s="1147"/>
      <c r="N37" s="1147"/>
      <c r="O37" s="1147"/>
      <c r="P37" s="3168" t="str">
        <f>A37</f>
        <v>估价对象XX用房的比较价值（楼面单价，元/平方米）</v>
      </c>
      <c r="Q37" s="3169"/>
      <c r="R37" s="3170" t="e">
        <f>IF(F1="售价",ROUND(AVERAGE(R36:V36),0),ROUND(AVERAGE(R36:V36),1))</f>
        <v>#DIV/0!</v>
      </c>
      <c r="S37" s="3170"/>
      <c r="T37" s="3170"/>
      <c r="U37" s="3170"/>
      <c r="V37" s="3170"/>
      <c r="W37" s="317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2648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2649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2650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2651</v>
      </c>
      <c r="B45" s="759"/>
      <c r="C45" s="764"/>
      <c r="D45" s="764"/>
      <c r="E45" s="764"/>
      <c r="F45" s="765"/>
      <c r="G45" s="765"/>
      <c r="H45" s="764"/>
      <c r="I45" s="764"/>
      <c r="J45" s="764"/>
      <c r="K45" s="766"/>
      <c r="L45" s="767"/>
      <c r="M45" s="764"/>
      <c r="N45" s="764"/>
      <c r="O45" s="764"/>
      <c r="P45" s="503"/>
      <c r="Q45" s="504"/>
    </row>
    <row r="46" spans="1:29" s="508" customFormat="1" ht="15">
      <c r="A46" s="505" t="s">
        <v>2525</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2562</v>
      </c>
      <c r="B48" s="516"/>
      <c r="C48" s="517"/>
      <c r="D48" s="518"/>
      <c r="E48" s="518"/>
      <c r="F48" s="518"/>
      <c r="G48" s="518"/>
      <c r="H48" s="518"/>
      <c r="I48" s="518"/>
      <c r="J48" s="518"/>
      <c r="K48" s="518"/>
      <c r="L48" s="518"/>
      <c r="M48" s="519"/>
      <c r="N48" s="518"/>
      <c r="O48" s="520"/>
      <c r="P48" s="504"/>
      <c r="Q48" s="504"/>
    </row>
    <row r="49" spans="1:17" s="117" customFormat="1" ht="15">
      <c r="A49" s="521" t="s">
        <v>2527</v>
      </c>
      <c r="B49" s="510"/>
      <c r="C49" s="522" t="s">
        <v>2629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2565</v>
      </c>
      <c r="B51" s="528" t="s">
        <v>2531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2534</v>
      </c>
      <c r="C53" s="539" t="s">
        <v>2566</v>
      </c>
      <c r="D53" s="539" t="s">
        <v>2567</v>
      </c>
      <c r="E53" s="539" t="s">
        <v>2568</v>
      </c>
      <c r="F53" s="539" t="s">
        <v>2569</v>
      </c>
      <c r="G53" s="539" t="s">
        <v>2570</v>
      </c>
      <c r="H53" s="539" t="s">
        <v>2571</v>
      </c>
      <c r="I53" s="539" t="s">
        <v>2572</v>
      </c>
      <c r="J53" s="539"/>
      <c r="K53" s="540"/>
      <c r="L53" s="541"/>
      <c r="M53" s="542"/>
      <c r="N53" s="1155"/>
      <c r="O53" s="1155"/>
      <c r="P53" s="45"/>
      <c r="Q53" s="504"/>
    </row>
    <row r="54" spans="1:17" ht="15.75" thickBot="1">
      <c r="A54" s="534"/>
      <c r="B54" s="543"/>
      <c r="C54" s="544" t="s">
        <v>23</v>
      </c>
      <c r="D54" s="544" t="s">
        <v>24</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2536</v>
      </c>
      <c r="B61" s="528" t="s">
        <v>2579</v>
      </c>
      <c r="C61" s="573" t="s">
        <v>2574</v>
      </c>
      <c r="D61" s="573" t="s">
        <v>2575</v>
      </c>
      <c r="E61" s="573" t="s">
        <v>2576</v>
      </c>
      <c r="F61" s="573" t="s">
        <v>2577</v>
      </c>
      <c r="G61" s="573" t="s">
        <v>2578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2717</v>
      </c>
      <c r="C63" s="578" t="s">
        <v>2574</v>
      </c>
      <c r="D63" s="578" t="s">
        <v>2575</v>
      </c>
      <c r="E63" s="578" t="s">
        <v>2576</v>
      </c>
      <c r="F63" s="578" t="s">
        <v>2577</v>
      </c>
      <c r="G63" s="578" t="s">
        <v>2578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2666</v>
      </c>
      <c r="C65" s="660" t="s">
        <v>2652</v>
      </c>
      <c r="D65" s="660" t="s">
        <v>2653</v>
      </c>
      <c r="E65" s="660" t="s">
        <v>2654</v>
      </c>
      <c r="F65" s="660" t="s">
        <v>2655</v>
      </c>
      <c r="G65" s="660" t="s">
        <v>2656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2586</v>
      </c>
      <c r="C67" s="578" t="s">
        <v>2574</v>
      </c>
      <c r="D67" s="578" t="s">
        <v>2575</v>
      </c>
      <c r="E67" s="578" t="s">
        <v>2576</v>
      </c>
      <c r="F67" s="578" t="s">
        <v>2577</v>
      </c>
      <c r="G67" s="578" t="s">
        <v>2578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2706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2540</v>
      </c>
      <c r="B77" s="528" t="s">
        <v>2593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2709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2710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2718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2719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2720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2721</v>
      </c>
      <c r="B1" s="395"/>
      <c r="C1" s="396" t="s">
        <v>2722</v>
      </c>
      <c r="D1" s="755"/>
      <c r="E1" s="755"/>
      <c r="F1" s="754" t="s">
        <v>2620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2304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2306</v>
      </c>
      <c r="B3" s="609" t="e">
        <f>ROUND(IF(D3="",B2*10000/'数据-汇总表'!E3,B2*10000/D3),0)</f>
        <v>#DIV/0!</v>
      </c>
      <c r="C3" s="247" t="s">
        <v>2723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2622</v>
      </c>
      <c r="B4" s="402"/>
      <c r="C4" s="3186" t="s">
        <v>2623</v>
      </c>
      <c r="D4" s="3187"/>
      <c r="E4" s="3188" t="s">
        <v>2624</v>
      </c>
      <c r="F4" s="3189"/>
      <c r="G4" s="3186" t="s">
        <v>2625</v>
      </c>
      <c r="H4" s="3187"/>
      <c r="I4" s="3186" t="s">
        <v>2626</v>
      </c>
      <c r="J4" s="3187"/>
      <c r="K4" s="610" t="s">
        <v>2627</v>
      </c>
      <c r="L4" s="1133"/>
      <c r="M4" s="1134"/>
      <c r="N4" s="1134"/>
      <c r="O4" s="1134"/>
      <c r="P4" s="3190" t="s">
        <v>2628</v>
      </c>
      <c r="Q4" s="3191"/>
      <c r="R4" s="3196" t="s">
        <v>2624</v>
      </c>
      <c r="S4" s="3197"/>
      <c r="T4" s="3196" t="s">
        <v>2625</v>
      </c>
      <c r="U4" s="3197"/>
      <c r="V4" s="3202" t="s">
        <v>2626</v>
      </c>
      <c r="W4" s="3202"/>
      <c r="X4" s="1816"/>
      <c r="Y4" s="3196" t="s">
        <v>2628</v>
      </c>
      <c r="Z4" s="3197"/>
      <c r="AA4" s="3183" t="s">
        <v>2624</v>
      </c>
      <c r="AB4" s="3184" t="s">
        <v>2625</v>
      </c>
      <c r="AC4" s="3183" t="s">
        <v>2626</v>
      </c>
    </row>
    <row r="5" spans="1:30" ht="15">
      <c r="A5" s="404"/>
      <c r="B5" s="405"/>
      <c r="C5" s="3205" t="s">
        <v>2519</v>
      </c>
      <c r="D5" s="3206"/>
      <c r="E5" s="3212" t="s">
        <v>2520</v>
      </c>
      <c r="F5" s="3213"/>
      <c r="G5" s="3205" t="s">
        <v>2521</v>
      </c>
      <c r="H5" s="3206"/>
      <c r="I5" s="3205" t="s">
        <v>2522</v>
      </c>
      <c r="J5" s="3206"/>
      <c r="K5" s="610"/>
      <c r="L5" s="1133"/>
      <c r="M5" s="1134"/>
      <c r="N5" s="1134"/>
      <c r="O5" s="1134"/>
      <c r="P5" s="3192"/>
      <c r="Q5" s="3193"/>
      <c r="R5" s="3198"/>
      <c r="S5" s="3199"/>
      <c r="T5" s="3198"/>
      <c r="U5" s="3199"/>
      <c r="V5" s="3202"/>
      <c r="W5" s="3202"/>
      <c r="X5" s="1816"/>
      <c r="Y5" s="3198"/>
      <c r="Z5" s="3199"/>
      <c r="AA5" s="3184"/>
      <c r="AB5" s="3184"/>
      <c r="AC5" s="3184"/>
    </row>
    <row r="6" spans="1:30" ht="15.75" thickBot="1">
      <c r="A6" s="406"/>
      <c r="B6" s="407"/>
      <c r="C6" s="3203" t="s">
        <v>2523</v>
      </c>
      <c r="D6" s="3204"/>
      <c r="E6" s="3210" t="s">
        <v>2523</v>
      </c>
      <c r="F6" s="3211"/>
      <c r="G6" s="3203" t="s">
        <v>2523</v>
      </c>
      <c r="H6" s="3204"/>
      <c r="I6" s="3203" t="s">
        <v>2523</v>
      </c>
      <c r="J6" s="3204"/>
      <c r="K6" s="610" t="s">
        <v>2524</v>
      </c>
      <c r="L6" s="1133"/>
      <c r="M6" s="1134"/>
      <c r="N6" s="1134"/>
      <c r="O6" s="1134"/>
      <c r="P6" s="3194"/>
      <c r="Q6" s="3195"/>
      <c r="R6" s="3198"/>
      <c r="S6" s="3199"/>
      <c r="T6" s="3200"/>
      <c r="U6" s="3201"/>
      <c r="V6" s="3202"/>
      <c r="W6" s="3202"/>
      <c r="X6" s="1816"/>
      <c r="Y6" s="3200"/>
      <c r="Z6" s="3201"/>
      <c r="AA6" s="3185"/>
      <c r="AB6" s="3185"/>
      <c r="AC6" s="3185"/>
    </row>
    <row r="7" spans="1:30" s="117" customFormat="1" ht="15.75" thickBot="1">
      <c r="A7" s="408" t="s">
        <v>2525</v>
      </c>
      <c r="B7" s="409"/>
      <c r="C7" s="410">
        <f>'数据-取费表'!B2</f>
        <v>43200</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207" t="s">
        <v>2526</v>
      </c>
      <c r="Q7" s="3209"/>
      <c r="R7" s="770" t="s">
        <v>17</v>
      </c>
      <c r="S7" s="771">
        <f t="shared" ref="S7:S15" si="0">F7</f>
        <v>0</v>
      </c>
      <c r="T7" s="770" t="s">
        <v>17</v>
      </c>
      <c r="U7" s="771">
        <f t="shared" ref="U7:U15" si="1">H7</f>
        <v>0</v>
      </c>
      <c r="V7" s="770" t="s">
        <v>17</v>
      </c>
      <c r="W7" s="771">
        <f t="shared" ref="W7:W15" si="2">J7</f>
        <v>0</v>
      </c>
      <c r="X7" s="772"/>
      <c r="Y7" s="3207" t="s">
        <v>2526</v>
      </c>
      <c r="Z7" s="3208"/>
      <c r="AA7" s="773" t="e">
        <f>D7/F7</f>
        <v>#DIV/0!</v>
      </c>
      <c r="AB7" s="773" t="e">
        <f>D7/H7</f>
        <v>#DIV/0!</v>
      </c>
      <c r="AC7" s="773" t="e">
        <f>D7/J7</f>
        <v>#DIV/0!</v>
      </c>
    </row>
    <row r="8" spans="1:30" s="117" customFormat="1" ht="15.75" thickBot="1">
      <c r="A8" s="408" t="s">
        <v>2527</v>
      </c>
      <c r="B8" s="409"/>
      <c r="C8" s="414" t="s">
        <v>2528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7" t="s">
        <v>2529</v>
      </c>
      <c r="Q8" s="3208"/>
      <c r="R8" s="770" t="s">
        <v>17</v>
      </c>
      <c r="S8" s="771">
        <f t="shared" si="0"/>
        <v>0</v>
      </c>
      <c r="T8" s="770" t="s">
        <v>17</v>
      </c>
      <c r="U8" s="771">
        <f t="shared" si="1"/>
        <v>0</v>
      </c>
      <c r="V8" s="770" t="s">
        <v>17</v>
      </c>
      <c r="W8" s="771">
        <f t="shared" si="2"/>
        <v>0</v>
      </c>
      <c r="X8" s="772"/>
      <c r="Y8" s="3207" t="s">
        <v>2529</v>
      </c>
      <c r="Z8" s="3208"/>
      <c r="AA8" s="773" t="e">
        <f t="shared" ref="AA8:AA45" si="3">D8/F8</f>
        <v>#DIV/0!</v>
      </c>
      <c r="AB8" s="773" t="e">
        <f t="shared" ref="AB8:AB45" si="4">D8/H8</f>
        <v>#DIV/0!</v>
      </c>
      <c r="AC8" s="773" t="e">
        <f t="shared" ref="AC8:AC45" si="5">D8/J8</f>
        <v>#DIV/0!</v>
      </c>
    </row>
    <row r="9" spans="1:30" s="117" customFormat="1">
      <c r="A9" s="415" t="s">
        <v>2530</v>
      </c>
      <c r="B9" s="71" t="s">
        <v>2531</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171" t="s">
        <v>2532</v>
      </c>
      <c r="Q9" s="1798" t="str">
        <f t="shared" ref="Q9:Q15" si="6">B9</f>
        <v>用途</v>
      </c>
      <c r="R9" s="770" t="s">
        <v>17</v>
      </c>
      <c r="S9" s="771">
        <f t="shared" si="0"/>
        <v>100</v>
      </c>
      <c r="T9" s="770" t="s">
        <v>17</v>
      </c>
      <c r="U9" s="771">
        <f t="shared" si="1"/>
        <v>100</v>
      </c>
      <c r="V9" s="770" t="s">
        <v>17</v>
      </c>
      <c r="W9" s="771">
        <f t="shared" si="2"/>
        <v>100</v>
      </c>
      <c r="X9" s="772"/>
      <c r="Y9" s="2996" t="s">
        <v>2533</v>
      </c>
      <c r="Z9" s="55" t="str">
        <f t="shared" ref="Z9:Z15" si="7">Q9</f>
        <v>用途</v>
      </c>
      <c r="AA9" s="773">
        <f t="shared" si="3"/>
        <v>1</v>
      </c>
      <c r="AB9" s="773">
        <f t="shared" si="4"/>
        <v>1</v>
      </c>
      <c r="AC9" s="773">
        <f t="shared" si="5"/>
        <v>1</v>
      </c>
    </row>
    <row r="10" spans="1:30" s="427" customFormat="1" ht="27">
      <c r="A10" s="421"/>
      <c r="B10" s="422" t="s">
        <v>2534</v>
      </c>
      <c r="C10" s="432"/>
      <c r="D10" s="136">
        <v>100</v>
      </c>
      <c r="E10" s="465"/>
      <c r="F10" s="136">
        <f>ROUND(100/'数据-取费表'!G16,0)</f>
        <v>107</v>
      </c>
      <c r="G10" s="463"/>
      <c r="H10" s="136">
        <f>ROUND(100/'数据-取费表'!G16,0)</f>
        <v>107</v>
      </c>
      <c r="I10" s="463"/>
      <c r="J10" s="136">
        <f>ROUND(100/'数据-取费表'!G16,0)</f>
        <v>107</v>
      </c>
      <c r="K10" s="672"/>
      <c r="L10" s="1138"/>
      <c r="M10" s="1139"/>
      <c r="N10" s="1139"/>
      <c r="O10" s="1140"/>
      <c r="P10" s="3171"/>
      <c r="Q10" s="1798" t="str">
        <f t="shared" si="6"/>
        <v>土地使用年限（年）</v>
      </c>
      <c r="R10" s="770" t="s">
        <v>17</v>
      </c>
      <c r="S10" s="771">
        <f t="shared" si="0"/>
        <v>107</v>
      </c>
      <c r="T10" s="770" t="s">
        <v>17</v>
      </c>
      <c r="U10" s="771">
        <f t="shared" si="1"/>
        <v>107</v>
      </c>
      <c r="V10" s="770" t="s">
        <v>17</v>
      </c>
      <c r="W10" s="771">
        <f t="shared" si="2"/>
        <v>107</v>
      </c>
      <c r="X10" s="772"/>
      <c r="Y10" s="2996"/>
      <c r="Z10" s="55" t="str">
        <f t="shared" si="7"/>
        <v>土地使用年限（年）</v>
      </c>
      <c r="AA10" s="773">
        <f t="shared" si="3"/>
        <v>0.93457943925233644</v>
      </c>
      <c r="AB10" s="773">
        <f t="shared" si="4"/>
        <v>0.93457943925233644</v>
      </c>
      <c r="AC10" s="773">
        <f t="shared" si="5"/>
        <v>0.93457943925233644</v>
      </c>
    </row>
    <row r="11" spans="1:30" ht="15">
      <c r="A11" s="428"/>
      <c r="B11" s="422" t="s">
        <v>2535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1"/>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30" s="117" customFormat="1" ht="15">
      <c r="A12" s="431"/>
      <c r="B12" s="2604" t="s">
        <v>2724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1"/>
      <c r="Q12" s="1798" t="str">
        <f t="shared" si="6"/>
        <v>配建</v>
      </c>
      <c r="R12" s="770" t="s">
        <v>17</v>
      </c>
      <c r="S12" s="771">
        <f t="shared" si="0"/>
        <v>100</v>
      </c>
      <c r="T12" s="770" t="s">
        <v>17</v>
      </c>
      <c r="U12" s="771">
        <f t="shared" si="1"/>
        <v>100</v>
      </c>
      <c r="V12" s="770" t="s">
        <v>17</v>
      </c>
      <c r="W12" s="771">
        <f t="shared" si="2"/>
        <v>100</v>
      </c>
      <c r="X12" s="772"/>
      <c r="Y12" s="2996"/>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2996"/>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1"/>
      <c r="Q14" s="1798">
        <f t="shared" si="6"/>
        <v>111</v>
      </c>
      <c r="R14" s="770" t="s">
        <v>17</v>
      </c>
      <c r="S14" s="771">
        <f t="shared" si="0"/>
        <v>100</v>
      </c>
      <c r="T14" s="770" t="s">
        <v>17</v>
      </c>
      <c r="U14" s="771">
        <f t="shared" si="1"/>
        <v>100</v>
      </c>
      <c r="V14" s="770" t="s">
        <v>17</v>
      </c>
      <c r="W14" s="771">
        <f t="shared" si="2"/>
        <v>100</v>
      </c>
      <c r="X14" s="772"/>
      <c r="Y14" s="2996"/>
      <c r="Z14" s="55">
        <f t="shared" si="7"/>
        <v>111</v>
      </c>
      <c r="AA14" s="773">
        <f>D14/F14</f>
        <v>1</v>
      </c>
      <c r="AB14" s="773">
        <f>D14/H14</f>
        <v>1</v>
      </c>
      <c r="AC14" s="773">
        <f>D14/J14</f>
        <v>1</v>
      </c>
    </row>
    <row r="15" spans="1:30" ht="99.75">
      <c r="A15" s="440" t="s">
        <v>2536</v>
      </c>
      <c r="B15" s="69" t="s">
        <v>2063</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3" t="s">
        <v>2537</v>
      </c>
      <c r="Q15" s="1813" t="str">
        <f t="shared" si="6"/>
        <v>居住社区成熟度</v>
      </c>
      <c r="R15" s="774" t="s">
        <v>17</v>
      </c>
      <c r="S15" s="775">
        <f t="shared" si="0"/>
        <v>100</v>
      </c>
      <c r="T15" s="774" t="s">
        <v>17</v>
      </c>
      <c r="U15" s="775">
        <f t="shared" si="1"/>
        <v>100</v>
      </c>
      <c r="V15" s="774" t="s">
        <v>17</v>
      </c>
      <c r="W15" s="775">
        <f t="shared" si="2"/>
        <v>100</v>
      </c>
      <c r="X15" s="1816"/>
      <c r="Y15" s="3173" t="s">
        <v>2537</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174"/>
      <c r="Q16" s="1813"/>
      <c r="R16" s="774"/>
      <c r="S16" s="775"/>
      <c r="T16" s="774"/>
      <c r="U16" s="775"/>
      <c r="V16" s="774"/>
      <c r="W16" s="775"/>
      <c r="X16" s="1816"/>
      <c r="Y16" s="3174"/>
      <c r="Z16" s="1817"/>
      <c r="AA16" s="1814">
        <v>1</v>
      </c>
      <c r="AB16" s="1814">
        <v>1</v>
      </c>
      <c r="AC16" s="1814">
        <v>1</v>
      </c>
    </row>
    <row r="17" spans="1:29" ht="71.25">
      <c r="A17" s="428"/>
      <c r="B17" s="451" t="s">
        <v>2630</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4"/>
      <c r="Q17" s="1813" t="str">
        <f>B17</f>
        <v>商业繁华度</v>
      </c>
      <c r="R17" s="774" t="s">
        <v>17</v>
      </c>
      <c r="S17" s="775">
        <f>F17</f>
        <v>100</v>
      </c>
      <c r="T17" s="774" t="s">
        <v>17</v>
      </c>
      <c r="U17" s="775">
        <f>H17</f>
        <v>100</v>
      </c>
      <c r="V17" s="774" t="s">
        <v>17</v>
      </c>
      <c r="W17" s="775">
        <f>J17</f>
        <v>100</v>
      </c>
      <c r="X17" s="1816"/>
      <c r="Y17" s="3174"/>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174"/>
      <c r="Q18" s="1813"/>
      <c r="R18" s="774"/>
      <c r="S18" s="775"/>
      <c r="T18" s="774"/>
      <c r="U18" s="775"/>
      <c r="V18" s="774"/>
      <c r="W18" s="775"/>
      <c r="X18" s="1816"/>
      <c r="Y18" s="3174"/>
      <c r="Z18" s="1817"/>
      <c r="AA18" s="1814">
        <v>1</v>
      </c>
      <c r="AB18" s="1814">
        <v>1</v>
      </c>
      <c r="AC18" s="1814">
        <v>1</v>
      </c>
    </row>
    <row r="19" spans="1:29" ht="71.25">
      <c r="A19" s="428"/>
      <c r="B19" s="451" t="s">
        <v>2664</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4"/>
      <c r="Q19" s="1813" t="str">
        <f>B19</f>
        <v>办公集聚程度</v>
      </c>
      <c r="R19" s="774" t="s">
        <v>17</v>
      </c>
      <c r="S19" s="775">
        <f>F19</f>
        <v>100</v>
      </c>
      <c r="T19" s="774" t="s">
        <v>17</v>
      </c>
      <c r="U19" s="775">
        <f>H19</f>
        <v>100</v>
      </c>
      <c r="V19" s="774" t="s">
        <v>17</v>
      </c>
      <c r="W19" s="775">
        <f>J19</f>
        <v>100</v>
      </c>
      <c r="X19" s="1816"/>
      <c r="Y19" s="3174"/>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174"/>
      <c r="Q20" s="1813"/>
      <c r="R20" s="774"/>
      <c r="S20" s="775"/>
      <c r="T20" s="774"/>
      <c r="U20" s="775"/>
      <c r="V20" s="774"/>
      <c r="W20" s="775"/>
      <c r="X20" s="1816"/>
      <c r="Y20" s="3174"/>
      <c r="Z20" s="1817"/>
      <c r="AA20" s="1814">
        <v>1</v>
      </c>
      <c r="AB20" s="1814">
        <v>1</v>
      </c>
      <c r="AC20" s="1814">
        <v>1</v>
      </c>
    </row>
    <row r="21" spans="1:29" ht="85.5">
      <c r="A21" s="428"/>
      <c r="B21" s="451" t="s">
        <v>2686</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4"/>
      <c r="Q21" s="1813" t="str">
        <f>B21</f>
        <v>交通便捷度</v>
      </c>
      <c r="R21" s="774" t="s">
        <v>17</v>
      </c>
      <c r="S21" s="775">
        <f>F21</f>
        <v>100</v>
      </c>
      <c r="T21" s="774" t="s">
        <v>17</v>
      </c>
      <c r="U21" s="775">
        <f>H21</f>
        <v>100</v>
      </c>
      <c r="V21" s="774" t="s">
        <v>17</v>
      </c>
      <c r="W21" s="775">
        <f>J21</f>
        <v>100</v>
      </c>
      <c r="X21" s="1816"/>
      <c r="Y21" s="3174"/>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174"/>
      <c r="Q22" s="1813"/>
      <c r="R22" s="774"/>
      <c r="S22" s="775"/>
      <c r="T22" s="774"/>
      <c r="U22" s="775"/>
      <c r="V22" s="774"/>
      <c r="W22" s="775"/>
      <c r="X22" s="1816"/>
      <c r="Y22" s="3174"/>
      <c r="Z22" s="1817"/>
      <c r="AA22" s="1814">
        <v>1</v>
      </c>
      <c r="AB22" s="1814">
        <v>1</v>
      </c>
      <c r="AC22" s="1814">
        <v>1</v>
      </c>
    </row>
    <row r="23" spans="1:29" ht="15">
      <c r="A23" s="404"/>
      <c r="B23" s="451" t="s">
        <v>2725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4"/>
      <c r="Q23" s="1813" t="str">
        <f t="shared" ref="Q23:Q37" si="8">B23</f>
        <v>区域土地利用方向</v>
      </c>
      <c r="R23" s="774" t="s">
        <v>17</v>
      </c>
      <c r="S23" s="775">
        <f>F23</f>
        <v>100</v>
      </c>
      <c r="T23" s="774" t="s">
        <v>17</v>
      </c>
      <c r="U23" s="775">
        <f>H23</f>
        <v>100</v>
      </c>
      <c r="V23" s="774" t="s">
        <v>17</v>
      </c>
      <c r="W23" s="775">
        <f>J23</f>
        <v>100</v>
      </c>
      <c r="X23" s="1816"/>
      <c r="Y23" s="3174"/>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174"/>
      <c r="Q24" s="1813"/>
      <c r="R24" s="774"/>
      <c r="S24" s="775"/>
      <c r="T24" s="774"/>
      <c r="U24" s="775"/>
      <c r="V24" s="774"/>
      <c r="W24" s="775"/>
      <c r="X24" s="1816"/>
      <c r="Y24" s="3174"/>
      <c r="Z24" s="1817"/>
      <c r="AA24" s="1814"/>
      <c r="AB24" s="1814"/>
      <c r="AC24" s="1814"/>
    </row>
    <row r="25" spans="1:29" ht="57">
      <c r="A25" s="404"/>
      <c r="B25" s="1387" t="s">
        <v>2726</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4"/>
      <c r="Q25" s="1813" t="str">
        <f t="shared" si="8"/>
        <v>自然及人文环境状况</v>
      </c>
      <c r="R25" s="774" t="s">
        <v>17</v>
      </c>
      <c r="S25" s="775">
        <f>F25</f>
        <v>100</v>
      </c>
      <c r="T25" s="774" t="s">
        <v>17</v>
      </c>
      <c r="U25" s="775">
        <f>H25</f>
        <v>100</v>
      </c>
      <c r="V25" s="774" t="s">
        <v>17</v>
      </c>
      <c r="W25" s="775">
        <f>J25</f>
        <v>100</v>
      </c>
      <c r="X25" s="1816"/>
      <c r="Y25" s="3174"/>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174"/>
      <c r="Q26" s="1813"/>
      <c r="R26" s="774"/>
      <c r="S26" s="775"/>
      <c r="T26" s="774"/>
      <c r="U26" s="775"/>
      <c r="V26" s="774"/>
      <c r="W26" s="775"/>
      <c r="X26" s="1816"/>
      <c r="Y26" s="3174"/>
      <c r="Z26" s="1817"/>
      <c r="AA26" s="1814">
        <v>1</v>
      </c>
      <c r="AB26" s="1814">
        <v>1</v>
      </c>
      <c r="AC26" s="1814">
        <v>1</v>
      </c>
    </row>
    <row r="27" spans="1:29" s="117" customFormat="1" ht="42.75">
      <c r="A27" s="649"/>
      <c r="B27" s="1387" t="s">
        <v>2631</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4"/>
      <c r="Q27" s="1798" t="str">
        <f t="shared" si="8"/>
        <v>公共配套设施</v>
      </c>
      <c r="R27" s="770" t="s">
        <v>17</v>
      </c>
      <c r="S27" s="771">
        <f>F27</f>
        <v>100</v>
      </c>
      <c r="T27" s="770" t="s">
        <v>17</v>
      </c>
      <c r="U27" s="771">
        <f>H27</f>
        <v>100</v>
      </c>
      <c r="V27" s="770" t="s">
        <v>17</v>
      </c>
      <c r="W27" s="771">
        <f>J27</f>
        <v>100</v>
      </c>
      <c r="X27" s="772"/>
      <c r="Y27" s="3174"/>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174"/>
      <c r="Q28" s="1798"/>
      <c r="R28" s="770"/>
      <c r="S28" s="771"/>
      <c r="T28" s="770"/>
      <c r="U28" s="771"/>
      <c r="V28" s="770"/>
      <c r="W28" s="771"/>
      <c r="X28" s="772"/>
      <c r="Y28" s="3174"/>
      <c r="Z28" s="55"/>
      <c r="AA28" s="1814">
        <v>1</v>
      </c>
      <c r="AB28" s="1814">
        <v>1</v>
      </c>
      <c r="AC28" s="1814">
        <v>1</v>
      </c>
    </row>
    <row r="29" spans="1:29" s="117" customFormat="1" ht="28.5">
      <c r="A29" s="649"/>
      <c r="B29" s="1387" t="s">
        <v>2632</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4"/>
      <c r="Q29" s="1798" t="str">
        <f t="shared" ref="Q29" si="9">B29</f>
        <v>基础设施水平</v>
      </c>
      <c r="R29" s="770" t="s">
        <v>17</v>
      </c>
      <c r="S29" s="771">
        <f>F29</f>
        <v>100</v>
      </c>
      <c r="T29" s="770" t="s">
        <v>17</v>
      </c>
      <c r="U29" s="771">
        <f>H29</f>
        <v>100</v>
      </c>
      <c r="V29" s="770" t="s">
        <v>17</v>
      </c>
      <c r="W29" s="771">
        <f>J29</f>
        <v>100</v>
      </c>
      <c r="X29" s="772"/>
      <c r="Y29" s="3174"/>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174"/>
      <c r="Q30" s="1798"/>
      <c r="R30" s="770"/>
      <c r="S30" s="771"/>
      <c r="T30" s="770"/>
      <c r="U30" s="771"/>
      <c r="V30" s="770"/>
      <c r="W30" s="771"/>
      <c r="X30" s="772"/>
      <c r="Y30" s="3174"/>
      <c r="Z30" s="55"/>
      <c r="AA30" s="1814">
        <v>1</v>
      </c>
      <c r="AB30" s="1814">
        <v>1</v>
      </c>
      <c r="AC30" s="1814">
        <v>1</v>
      </c>
    </row>
    <row r="31" spans="1:29" ht="15">
      <c r="A31" s="428"/>
      <c r="B31" s="456" t="s">
        <v>2633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4"/>
      <c r="Z31" s="1817" t="str">
        <f t="shared" ref="Z31:Z45" si="13">Q31</f>
        <v>临街状况</v>
      </c>
      <c r="AA31" s="1814">
        <f t="shared" si="3"/>
        <v>1</v>
      </c>
      <c r="AB31" s="1814">
        <f t="shared" si="4"/>
        <v>1</v>
      </c>
      <c r="AC31" s="1814">
        <f t="shared" si="5"/>
        <v>1</v>
      </c>
    </row>
    <row r="32" spans="1:29" ht="27">
      <c r="A32" s="428"/>
      <c r="B32" s="1387" t="s">
        <v>2668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4"/>
      <c r="Q32" s="1813" t="str">
        <f t="shared" si="8"/>
        <v>毗邻道路的类型与等级</v>
      </c>
      <c r="R32" s="774" t="s">
        <v>17</v>
      </c>
      <c r="S32" s="775">
        <f t="shared" si="10"/>
        <v>100</v>
      </c>
      <c r="T32" s="774" t="s">
        <v>17</v>
      </c>
      <c r="U32" s="775">
        <f t="shared" si="11"/>
        <v>100</v>
      </c>
      <c r="V32" s="774" t="s">
        <v>17</v>
      </c>
      <c r="W32" s="775">
        <f t="shared" si="12"/>
        <v>100</v>
      </c>
      <c r="X32" s="1816"/>
      <c r="Y32" s="3174"/>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174"/>
      <c r="Q33" s="1813"/>
      <c r="R33" s="774"/>
      <c r="S33" s="775"/>
      <c r="T33" s="774"/>
      <c r="U33" s="775"/>
      <c r="V33" s="774"/>
      <c r="W33" s="775"/>
      <c r="X33" s="1816"/>
      <c r="Y33" s="3174"/>
      <c r="Z33" s="1817"/>
      <c r="AA33" s="1814">
        <v>1</v>
      </c>
      <c r="AB33" s="1814">
        <v>1</v>
      </c>
      <c r="AC33" s="1814">
        <v>1</v>
      </c>
    </row>
    <row r="34" spans="1:29" ht="15">
      <c r="A34" s="428"/>
      <c r="B34" s="422" t="s">
        <v>2727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4"/>
      <c r="Q34" s="1813" t="str">
        <f t="shared" si="8"/>
        <v>土地级别</v>
      </c>
      <c r="R34" s="774" t="s">
        <v>17</v>
      </c>
      <c r="S34" s="775">
        <f t="shared" si="10"/>
        <v>100</v>
      </c>
      <c r="T34" s="774" t="s">
        <v>17</v>
      </c>
      <c r="U34" s="775">
        <f t="shared" si="11"/>
        <v>100</v>
      </c>
      <c r="V34" s="774" t="s">
        <v>17</v>
      </c>
      <c r="W34" s="775">
        <f t="shared" si="12"/>
        <v>100</v>
      </c>
      <c r="X34" s="1816"/>
      <c r="Y34" s="317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4"/>
      <c r="Q35" s="1813">
        <f t="shared" si="8"/>
        <v>111</v>
      </c>
      <c r="R35" s="774" t="s">
        <v>17</v>
      </c>
      <c r="S35" s="775">
        <f t="shared" si="10"/>
        <v>100</v>
      </c>
      <c r="T35" s="774" t="s">
        <v>17</v>
      </c>
      <c r="U35" s="775">
        <f t="shared" si="11"/>
        <v>100</v>
      </c>
      <c r="V35" s="774" t="s">
        <v>17</v>
      </c>
      <c r="W35" s="775">
        <f t="shared" si="12"/>
        <v>100</v>
      </c>
      <c r="X35" s="1816"/>
      <c r="Y35" s="317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9" t="s">
        <v>2542</v>
      </c>
      <c r="Q36" s="1813">
        <f t="shared" si="8"/>
        <v>111</v>
      </c>
      <c r="R36" s="774" t="s">
        <v>17</v>
      </c>
      <c r="S36" s="775">
        <f t="shared" si="10"/>
        <v>100</v>
      </c>
      <c r="T36" s="774" t="s">
        <v>17</v>
      </c>
      <c r="U36" s="775">
        <f t="shared" si="11"/>
        <v>100</v>
      </c>
      <c r="V36" s="774" t="s">
        <v>17</v>
      </c>
      <c r="W36" s="775">
        <f t="shared" si="12"/>
        <v>100</v>
      </c>
      <c r="X36" s="1816"/>
      <c r="Y36" s="3178" t="s">
        <v>2542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8"/>
      <c r="Q37" s="1813">
        <f t="shared" si="8"/>
        <v>111</v>
      </c>
      <c r="R37" s="777" t="s">
        <v>17</v>
      </c>
      <c r="S37" s="778">
        <f t="shared" si="10"/>
        <v>100</v>
      </c>
      <c r="T37" s="777" t="s">
        <v>17</v>
      </c>
      <c r="U37" s="778">
        <f t="shared" si="11"/>
        <v>100</v>
      </c>
      <c r="V37" s="777" t="s">
        <v>17</v>
      </c>
      <c r="W37" s="778">
        <f t="shared" si="12"/>
        <v>100</v>
      </c>
      <c r="X37" s="779"/>
      <c r="Y37" s="3178"/>
      <c r="Z37" s="780">
        <f t="shared" si="13"/>
        <v>111</v>
      </c>
      <c r="AA37" s="1814">
        <f t="shared" si="3"/>
        <v>1</v>
      </c>
      <c r="AB37" s="1814">
        <f t="shared" si="4"/>
        <v>1</v>
      </c>
      <c r="AC37" s="1814">
        <f t="shared" si="5"/>
        <v>1</v>
      </c>
    </row>
    <row r="38" spans="1:29" ht="15">
      <c r="A38" s="472" t="s">
        <v>2540</v>
      </c>
      <c r="B38" s="456" t="s">
        <v>2728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8"/>
      <c r="Q38" s="1813" t="str">
        <f>B38</f>
        <v>宗地面积</v>
      </c>
      <c r="R38" s="774" t="s">
        <v>17</v>
      </c>
      <c r="S38" s="775" t="e">
        <f t="shared" si="10"/>
        <v>#N/A</v>
      </c>
      <c r="T38" s="774" t="s">
        <v>17</v>
      </c>
      <c r="U38" s="775" t="e">
        <f t="shared" si="11"/>
        <v>#N/A</v>
      </c>
      <c r="V38" s="774" t="s">
        <v>17</v>
      </c>
      <c r="W38" s="775" t="e">
        <f t="shared" si="12"/>
        <v>#N/A</v>
      </c>
      <c r="X38" s="1816"/>
      <c r="Y38" s="3178"/>
      <c r="Z38" s="1817" t="str">
        <f t="shared" si="13"/>
        <v>宗地面积</v>
      </c>
      <c r="AA38" s="1814" t="e">
        <f t="shared" si="3"/>
        <v>#N/A</v>
      </c>
      <c r="AB38" s="1814" t="e">
        <f t="shared" si="4"/>
        <v>#N/A</v>
      </c>
      <c r="AC38" s="1814" t="e">
        <f t="shared" si="5"/>
        <v>#N/A</v>
      </c>
    </row>
    <row r="39" spans="1:29" ht="15">
      <c r="A39" s="472"/>
      <c r="B39" s="422" t="s">
        <v>2729</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178"/>
      <c r="Q39" s="1813" t="str">
        <f t="shared" ref="Q39:Q45" si="14">B39</f>
        <v>宗地形状</v>
      </c>
      <c r="R39" s="774" t="s">
        <v>17</v>
      </c>
      <c r="S39" s="775">
        <f t="shared" si="10"/>
        <v>100</v>
      </c>
      <c r="T39" s="774" t="s">
        <v>17</v>
      </c>
      <c r="U39" s="775">
        <f t="shared" si="11"/>
        <v>100</v>
      </c>
      <c r="V39" s="774" t="s">
        <v>17</v>
      </c>
      <c r="W39" s="775">
        <f t="shared" si="12"/>
        <v>100</v>
      </c>
      <c r="X39" s="1816"/>
      <c r="Y39" s="3178"/>
      <c r="Z39" s="1817" t="str">
        <f t="shared" si="13"/>
        <v>宗地形状</v>
      </c>
      <c r="AA39" s="1814">
        <f t="shared" si="3"/>
        <v>1</v>
      </c>
      <c r="AB39" s="1814">
        <f t="shared" si="4"/>
        <v>1</v>
      </c>
      <c r="AC39" s="1814">
        <f t="shared" si="5"/>
        <v>1</v>
      </c>
    </row>
    <row r="40" spans="1:29" ht="15">
      <c r="A40" s="472"/>
      <c r="B40" s="422" t="s">
        <v>2730</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178"/>
      <c r="Q40" s="1813" t="str">
        <f t="shared" si="14"/>
        <v>临街宽度及深度</v>
      </c>
      <c r="R40" s="774" t="s">
        <v>17</v>
      </c>
      <c r="S40" s="775">
        <f t="shared" si="10"/>
        <v>100</v>
      </c>
      <c r="T40" s="774" t="s">
        <v>17</v>
      </c>
      <c r="U40" s="775">
        <f t="shared" si="11"/>
        <v>100</v>
      </c>
      <c r="V40" s="774" t="s">
        <v>17</v>
      </c>
      <c r="W40" s="775">
        <f t="shared" si="12"/>
        <v>100</v>
      </c>
      <c r="X40" s="1816"/>
      <c r="Y40" s="3178"/>
      <c r="Z40" s="1817" t="str">
        <f t="shared" si="13"/>
        <v>临街宽度及深度</v>
      </c>
      <c r="AA40" s="1814">
        <f t="shared" si="3"/>
        <v>1</v>
      </c>
      <c r="AB40" s="1814">
        <f t="shared" si="4"/>
        <v>1</v>
      </c>
      <c r="AC40" s="1814">
        <f t="shared" si="5"/>
        <v>1</v>
      </c>
    </row>
    <row r="41" spans="1:29" s="117" customFormat="1" ht="15">
      <c r="A41" s="473"/>
      <c r="B41" s="422" t="s">
        <v>2731</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178"/>
      <c r="Q41" s="1813" t="str">
        <f t="shared" si="14"/>
        <v>宗地开发程度</v>
      </c>
      <c r="R41" s="770" t="s">
        <v>17</v>
      </c>
      <c r="S41" s="771">
        <f t="shared" si="10"/>
        <v>100</v>
      </c>
      <c r="T41" s="770" t="s">
        <v>17</v>
      </c>
      <c r="U41" s="771">
        <f t="shared" si="11"/>
        <v>100</v>
      </c>
      <c r="V41" s="770" t="s">
        <v>17</v>
      </c>
      <c r="W41" s="771">
        <f t="shared" si="12"/>
        <v>100</v>
      </c>
      <c r="X41" s="772"/>
      <c r="Y41" s="3178"/>
      <c r="Z41" s="55" t="str">
        <f t="shared" si="13"/>
        <v>宗地开发程度</v>
      </c>
      <c r="AA41" s="773">
        <f t="shared" si="3"/>
        <v>1</v>
      </c>
      <c r="AB41" s="773">
        <f t="shared" si="4"/>
        <v>1</v>
      </c>
      <c r="AC41" s="773">
        <f t="shared" si="5"/>
        <v>1</v>
      </c>
    </row>
    <row r="42" spans="1:29" ht="15">
      <c r="A42" s="472"/>
      <c r="B42" s="422" t="s">
        <v>2732</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178" t="s">
        <v>2542</v>
      </c>
      <c r="Q42" s="1813" t="str">
        <f t="shared" si="14"/>
        <v>工程地质条件</v>
      </c>
      <c r="R42" s="774" t="s">
        <v>17</v>
      </c>
      <c r="S42" s="775">
        <f t="shared" si="10"/>
        <v>100</v>
      </c>
      <c r="T42" s="774" t="s">
        <v>17</v>
      </c>
      <c r="U42" s="775">
        <f t="shared" si="11"/>
        <v>100</v>
      </c>
      <c r="V42" s="774" t="s">
        <v>17</v>
      </c>
      <c r="W42" s="775">
        <f t="shared" si="12"/>
        <v>100</v>
      </c>
      <c r="X42" s="1816"/>
      <c r="Y42" s="3178" t="s">
        <v>2542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8"/>
      <c r="Q43" s="1813">
        <f t="shared" si="14"/>
        <v>111</v>
      </c>
      <c r="R43" s="774" t="s">
        <v>17</v>
      </c>
      <c r="S43" s="775">
        <f t="shared" si="10"/>
        <v>100</v>
      </c>
      <c r="T43" s="774" t="s">
        <v>17</v>
      </c>
      <c r="U43" s="775">
        <f t="shared" si="11"/>
        <v>100</v>
      </c>
      <c r="V43" s="774" t="s">
        <v>17</v>
      </c>
      <c r="W43" s="775">
        <f t="shared" si="12"/>
        <v>100</v>
      </c>
      <c r="X43" s="1816"/>
      <c r="Y43" s="317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8"/>
      <c r="Q44" s="1813">
        <f t="shared" si="14"/>
        <v>111</v>
      </c>
      <c r="R44" s="774" t="s">
        <v>17</v>
      </c>
      <c r="S44" s="775">
        <f t="shared" si="10"/>
        <v>100</v>
      </c>
      <c r="T44" s="774" t="s">
        <v>17</v>
      </c>
      <c r="U44" s="775">
        <f t="shared" si="11"/>
        <v>100</v>
      </c>
      <c r="V44" s="774" t="s">
        <v>17</v>
      </c>
      <c r="W44" s="775">
        <f t="shared" si="12"/>
        <v>100</v>
      </c>
      <c r="X44" s="1816"/>
      <c r="Y44" s="3178"/>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8"/>
      <c r="Q45" s="1813">
        <f t="shared" si="14"/>
        <v>111</v>
      </c>
      <c r="R45" s="777" t="s">
        <v>17</v>
      </c>
      <c r="S45" s="778">
        <f t="shared" si="10"/>
        <v>100</v>
      </c>
      <c r="T45" s="777" t="s">
        <v>17</v>
      </c>
      <c r="U45" s="778">
        <f t="shared" si="11"/>
        <v>100</v>
      </c>
      <c r="V45" s="777" t="s">
        <v>17</v>
      </c>
      <c r="W45" s="778">
        <f t="shared" si="12"/>
        <v>100</v>
      </c>
      <c r="X45" s="779"/>
      <c r="Y45" s="3178"/>
      <c r="Z45" s="780">
        <f t="shared" si="13"/>
        <v>111</v>
      </c>
      <c r="AA45" s="1814">
        <f t="shared" si="3"/>
        <v>1</v>
      </c>
      <c r="AB45" s="1814">
        <f t="shared" si="4"/>
        <v>1</v>
      </c>
      <c r="AC45" s="1814">
        <f t="shared" si="5"/>
        <v>1</v>
      </c>
    </row>
    <row r="46" spans="1:29" ht="15">
      <c r="A46" s="479" t="s">
        <v>2697</v>
      </c>
      <c r="B46" s="2708" t="s">
        <v>2733</v>
      </c>
      <c r="C46" s="682" t="s">
        <v>1</v>
      </c>
      <c r="D46" s="481"/>
      <c r="E46" s="482"/>
      <c r="F46" s="483"/>
      <c r="G46" s="484"/>
      <c r="H46" s="485"/>
      <c r="I46" s="482"/>
      <c r="J46" s="485"/>
      <c r="K46" s="783"/>
      <c r="L46" s="1146"/>
      <c r="M46" s="1147"/>
      <c r="N46" s="1134"/>
      <c r="O46" s="1147"/>
      <c r="P46" s="3171" t="str">
        <f>A46</f>
        <v>成交单价</v>
      </c>
      <c r="Q46" s="3171"/>
      <c r="R46" s="3202">
        <f>E46</f>
        <v>0</v>
      </c>
      <c r="S46" s="3202"/>
      <c r="T46" s="3202">
        <f>G46</f>
        <v>0</v>
      </c>
      <c r="U46" s="3202"/>
      <c r="V46" s="3202">
        <f>I46</f>
        <v>0</v>
      </c>
      <c r="W46" s="3202"/>
      <c r="X46" s="759"/>
      <c r="Y46" s="781"/>
      <c r="Z46" s="759"/>
      <c r="AA46" s="759"/>
      <c r="AB46" s="759"/>
      <c r="AC46" s="759"/>
    </row>
    <row r="47" spans="1:29" ht="15.75" thickBot="1">
      <c r="A47" s="486" t="s">
        <v>2646</v>
      </c>
      <c r="B47" s="683"/>
      <c r="C47" s="490" t="e">
        <f>R48</f>
        <v>#DIV/0!</v>
      </c>
      <c r="D47" s="489"/>
      <c r="E47" s="490" t="e">
        <f>R47</f>
        <v>#DIV/0!</v>
      </c>
      <c r="F47" s="491"/>
      <c r="G47" s="488" t="e">
        <f>T47</f>
        <v>#DIV/0!</v>
      </c>
      <c r="H47" s="489"/>
      <c r="I47" s="490" t="e">
        <f>V47</f>
        <v>#DIV/0!</v>
      </c>
      <c r="J47" s="489"/>
      <c r="K47" s="784"/>
      <c r="L47" s="1146"/>
      <c r="M47" s="1147"/>
      <c r="N47" s="1147"/>
      <c r="O47" s="1147"/>
      <c r="P47" s="3171" t="str">
        <f>A47</f>
        <v>比较价值（元/平方米）</v>
      </c>
      <c r="Q47" s="3171"/>
      <c r="R47" s="3230" t="e">
        <f>ROUND(PRODUCT(R46,AA7:AA45),0)</f>
        <v>#DIV/0!</v>
      </c>
      <c r="S47" s="3230"/>
      <c r="T47" s="3230" t="e">
        <f>ROUND(PRODUCT(T46,AB7:AB45),0)</f>
        <v>#DIV/0!</v>
      </c>
      <c r="U47" s="3230"/>
      <c r="V47" s="3230" t="e">
        <f>ROUND(PRODUCT(V46,AC7:AC45),0)</f>
        <v>#DIV/0!</v>
      </c>
      <c r="W47" s="3230"/>
      <c r="X47" s="759"/>
      <c r="Y47" s="759"/>
      <c r="Z47" s="759"/>
      <c r="AA47" s="759"/>
      <c r="AB47" s="759"/>
      <c r="AC47" s="759"/>
    </row>
    <row r="48" spans="1:29" ht="15.75" thickBot="1">
      <c r="A48" s="492" t="s">
        <v>2734</v>
      </c>
      <c r="B48" s="493"/>
      <c r="C48" s="494" t="e">
        <f>R48</f>
        <v>#DIV/0!</v>
      </c>
      <c r="D48" s="494"/>
      <c r="E48" s="494"/>
      <c r="F48" s="494"/>
      <c r="G48" s="494"/>
      <c r="H48" s="494"/>
      <c r="I48" s="494"/>
      <c r="J48" s="494"/>
      <c r="K48" s="785"/>
      <c r="L48" s="1146"/>
      <c r="M48" s="1147"/>
      <c r="N48" s="1147"/>
      <c r="O48" s="1147"/>
      <c r="P48" s="3168" t="str">
        <f>A48</f>
        <v>估价对象XX用房的比较价值（楼面单价，元/平方米）</v>
      </c>
      <c r="Q48" s="3169"/>
      <c r="R48" s="3231" t="e">
        <f>ROUND(AVERAGE(R47:V47),0)</f>
        <v>#DIV/0!</v>
      </c>
      <c r="S48" s="3231"/>
      <c r="T48" s="3231"/>
      <c r="U48" s="3231"/>
      <c r="V48" s="3231"/>
      <c r="W48" s="323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2648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2649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2650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2735</v>
      </c>
      <c r="B55" s="685" t="s">
        <v>2736</v>
      </c>
      <c r="C55" s="2709" t="s">
        <v>2737</v>
      </c>
      <c r="D55" s="2710" t="s">
        <v>2738</v>
      </c>
      <c r="E55" s="686" t="s">
        <v>2739</v>
      </c>
      <c r="F55" s="1110" t="s">
        <v>2740</v>
      </c>
      <c r="G55" s="3186" t="s">
        <v>2741</v>
      </c>
      <c r="H55" s="3232"/>
      <c r="I55" s="144" t="s">
        <v>2742</v>
      </c>
      <c r="J55" s="2711">
        <f>项目基本情况!F35</f>
        <v>0</v>
      </c>
      <c r="K55" s="2712" t="s">
        <v>2743</v>
      </c>
      <c r="L55" s="1109"/>
      <c r="M55" s="1147"/>
      <c r="N55" s="1147"/>
      <c r="O55" s="1147"/>
    </row>
    <row r="56" spans="1:15" s="692" customFormat="1">
      <c r="A56" s="688" t="s">
        <v>2744</v>
      </c>
      <c r="B56" s="689" t="e">
        <f>C48</f>
        <v>#DIV/0!</v>
      </c>
      <c r="C56" s="690">
        <v>1</v>
      </c>
      <c r="D56" s="1166">
        <v>1</v>
      </c>
      <c r="E56" s="690">
        <f>'数据-汇总表'!E8+'数据-汇总表'!E9</f>
        <v>16346.349999999999</v>
      </c>
      <c r="F56" s="1106" t="e">
        <f t="shared" ref="F56:F65" si="15">ROUND(B56*E56/10000,0)</f>
        <v>#DIV/0!</v>
      </c>
      <c r="G56" s="3182"/>
      <c r="H56" s="3171"/>
      <c r="I56" s="1111">
        <v>1</v>
      </c>
      <c r="J56" s="1114">
        <v>1</v>
      </c>
      <c r="K56" s="1148"/>
      <c r="L56" s="944"/>
      <c r="M56" s="944"/>
      <c r="N56" s="944"/>
      <c r="O56" s="944"/>
    </row>
    <row r="57" spans="1:15" s="692" customFormat="1">
      <c r="A57" s="693" t="s">
        <v>2745</v>
      </c>
      <c r="B57" s="262" t="e">
        <f>ROUND($C$48*C57*D57,0)</f>
        <v>#DIV/0!</v>
      </c>
      <c r="C57" s="200">
        <f t="shared" ref="C57:C65" si="16">IF($C$55="北京市系数",I57,J57)</f>
        <v>0</v>
      </c>
      <c r="D57" s="1167">
        <v>0.25</v>
      </c>
      <c r="E57" s="694"/>
      <c r="F57" s="1106" t="e">
        <f t="shared" si="15"/>
        <v>#DIV/0!</v>
      </c>
      <c r="G57" s="3233" t="s">
        <v>2746</v>
      </c>
      <c r="H57" s="1107">
        <f>项目基本情况!B37</f>
        <v>0</v>
      </c>
      <c r="I57" s="1111">
        <f>SUMIF(修正!A45:A56,H57,修正!B45:B56)</f>
        <v>0</v>
      </c>
      <c r="J57" s="1115"/>
      <c r="K57" s="1147"/>
      <c r="L57" s="944"/>
      <c r="M57" s="944"/>
      <c r="N57" s="944"/>
      <c r="O57" s="944"/>
    </row>
    <row r="58" spans="1:15" s="692" customFormat="1">
      <c r="A58" s="693" t="s">
        <v>2747</v>
      </c>
      <c r="B58" s="262" t="e">
        <f t="shared" ref="B58:B65" si="17">ROUND($C$48*C58*D58,0)</f>
        <v>#DIV/0!</v>
      </c>
      <c r="C58" s="200">
        <f t="shared" si="16"/>
        <v>0</v>
      </c>
      <c r="D58" s="1167">
        <v>0.25</v>
      </c>
      <c r="E58" s="694"/>
      <c r="F58" s="1106" t="e">
        <f t="shared" si="15"/>
        <v>#DIV/0!</v>
      </c>
      <c r="G58" s="3233"/>
      <c r="H58" s="1107">
        <f>项目基本情况!B37</f>
        <v>0</v>
      </c>
      <c r="I58" s="1111">
        <f>SUMIF(修正!A45:A56,H58,修正!C45:C56)</f>
        <v>0</v>
      </c>
      <c r="J58" s="1115"/>
      <c r="K58" s="1148"/>
      <c r="L58" s="944"/>
      <c r="M58" s="944"/>
      <c r="N58" s="944"/>
      <c r="O58" s="944"/>
    </row>
    <row r="59" spans="1:15" s="692" customFormat="1">
      <c r="A59" s="693" t="s">
        <v>2748</v>
      </c>
      <c r="B59" s="262" t="e">
        <f t="shared" si="17"/>
        <v>#DIV/0!</v>
      </c>
      <c r="C59" s="200">
        <f t="shared" si="16"/>
        <v>0</v>
      </c>
      <c r="D59" s="1167">
        <v>0.25</v>
      </c>
      <c r="E59" s="694"/>
      <c r="F59" s="1106" t="e">
        <f t="shared" si="15"/>
        <v>#DIV/0!</v>
      </c>
      <c r="G59" s="3233"/>
      <c r="H59" s="1107">
        <f>项目基本情况!B37</f>
        <v>0</v>
      </c>
      <c r="I59" s="1111">
        <f>SUMIF(修正!A45:A56,H59,修正!D45:D56)</f>
        <v>0</v>
      </c>
      <c r="J59" s="1115"/>
      <c r="K59" s="1147"/>
      <c r="L59" s="944"/>
      <c r="M59" s="944"/>
      <c r="N59" s="944"/>
      <c r="O59" s="944"/>
    </row>
    <row r="60" spans="1:15" s="692" customFormat="1">
      <c r="A60" s="693" t="s">
        <v>2749</v>
      </c>
      <c r="B60" s="262" t="e">
        <f t="shared" si="17"/>
        <v>#DIV/0!</v>
      </c>
      <c r="C60" s="200">
        <f t="shared" si="16"/>
        <v>0</v>
      </c>
      <c r="D60" s="1167">
        <v>0.25</v>
      </c>
      <c r="E60" s="694"/>
      <c r="F60" s="1106" t="e">
        <f t="shared" si="15"/>
        <v>#DIV/0!</v>
      </c>
      <c r="G60" s="3233"/>
      <c r="H60" s="1107">
        <f>项目基本情况!B37</f>
        <v>0</v>
      </c>
      <c r="I60" s="1111">
        <f>SUMIF(修正!A45:A56,H60,修正!E45:E56)</f>
        <v>0</v>
      </c>
      <c r="J60" s="1115"/>
      <c r="K60" s="1148"/>
      <c r="L60" s="944"/>
      <c r="M60" s="944"/>
      <c r="N60" s="944"/>
      <c r="O60" s="944"/>
    </row>
    <row r="61" spans="1:15" s="692" customFormat="1">
      <c r="A61" s="693" t="s">
        <v>2750</v>
      </c>
      <c r="B61" s="262" t="e">
        <f t="shared" si="17"/>
        <v>#DIV/0!</v>
      </c>
      <c r="C61" s="200">
        <f t="shared" si="16"/>
        <v>0</v>
      </c>
      <c r="D61" s="1167">
        <v>0.25</v>
      </c>
      <c r="E61" s="261">
        <f>'数据-汇总表'!E11</f>
        <v>0</v>
      </c>
      <c r="F61" s="1106" t="e">
        <f t="shared" si="15"/>
        <v>#DIV/0!</v>
      </c>
      <c r="G61" s="2713" t="s">
        <v>2751</v>
      </c>
      <c r="H61" s="1107">
        <f>项目基本情况!C37</f>
        <v>0</v>
      </c>
      <c r="I61" s="1111">
        <f>SUMIF(修正!A45:A56,H61,修正!F45:F56)</f>
        <v>0</v>
      </c>
      <c r="J61" s="1115"/>
      <c r="K61" s="1147"/>
      <c r="L61" s="944"/>
      <c r="M61" s="944"/>
      <c r="N61" s="944"/>
      <c r="O61" s="944"/>
    </row>
    <row r="62" spans="1:15" s="692" customFormat="1">
      <c r="A62" s="693" t="s">
        <v>2752</v>
      </c>
      <c r="B62" s="262" t="e">
        <f t="shared" si="17"/>
        <v>#DIV/0!</v>
      </c>
      <c r="C62" s="200">
        <f t="shared" si="16"/>
        <v>0</v>
      </c>
      <c r="D62" s="1167">
        <v>0.25</v>
      </c>
      <c r="E62" s="261">
        <f>'数据-汇总表'!E12</f>
        <v>0</v>
      </c>
      <c r="F62" s="1106" t="e">
        <f t="shared" si="15"/>
        <v>#DIV/0!</v>
      </c>
      <c r="G62" s="1112" t="s">
        <v>2753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2754</v>
      </c>
      <c r="B63" s="262" t="e">
        <f t="shared" si="17"/>
        <v>#DIV/0!</v>
      </c>
      <c r="C63" s="200">
        <f t="shared" si="16"/>
        <v>0</v>
      </c>
      <c r="D63" s="1167">
        <v>0.25</v>
      </c>
      <c r="E63" s="261">
        <f>'数据-汇总表'!E13</f>
        <v>0</v>
      </c>
      <c r="F63" s="1106" t="e">
        <f t="shared" si="15"/>
        <v>#DIV/0!</v>
      </c>
      <c r="G63" s="1112" t="s">
        <v>2755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2756</v>
      </c>
      <c r="B64" s="262" t="e">
        <f t="shared" si="17"/>
        <v>#DIV/0!</v>
      </c>
      <c r="C64" s="200">
        <f t="shared" si="16"/>
        <v>0</v>
      </c>
      <c r="D64" s="1167">
        <v>0.25</v>
      </c>
      <c r="E64" s="261">
        <f>'数据-汇总表'!E14</f>
        <v>0</v>
      </c>
      <c r="F64" s="1106" t="e">
        <f t="shared" si="15"/>
        <v>#DIV/0!</v>
      </c>
      <c r="G64" s="2713" t="s">
        <v>2746</v>
      </c>
      <c r="H64" s="1107">
        <f>项目基本情况!B37</f>
        <v>0</v>
      </c>
      <c r="I64" s="1111">
        <f>SUMIF(修正!A45:A56,H64,修正!H45:H56)</f>
        <v>0</v>
      </c>
      <c r="J64" s="1115"/>
      <c r="K64" s="1148"/>
      <c r="L64" s="944"/>
      <c r="M64" s="944"/>
      <c r="N64" s="944"/>
      <c r="O64" s="944"/>
    </row>
    <row r="65" spans="1:17" s="692" customFormat="1" ht="15" thickBot="1">
      <c r="A65" s="693" t="s">
        <v>2757</v>
      </c>
      <c r="B65" s="262" t="e">
        <f t="shared" si="17"/>
        <v>#DIV/0!</v>
      </c>
      <c r="C65" s="200">
        <f t="shared" si="16"/>
        <v>0</v>
      </c>
      <c r="D65" s="1167">
        <v>0.25</v>
      </c>
      <c r="E65" s="261">
        <f>'数据-汇总表'!E15</f>
        <v>0</v>
      </c>
      <c r="F65" s="1106" t="e">
        <f t="shared" si="15"/>
        <v>#DIV/0!</v>
      </c>
      <c r="G65" s="2714" t="s">
        <v>2751</v>
      </c>
      <c r="H65" s="1117">
        <f>项目基本情况!C37</f>
        <v>0</v>
      </c>
      <c r="I65" s="1113">
        <f>SUMIF(修正!A45:A56,H65,修正!H45:H56)</f>
        <v>0</v>
      </c>
      <c r="J65" s="1116"/>
      <c r="K65" s="1147"/>
      <c r="L65" s="944"/>
      <c r="M65" s="944"/>
      <c r="N65" s="944"/>
      <c r="O65" s="944"/>
    </row>
    <row r="66" spans="1:17" s="692" customFormat="1" ht="13.5" thickBot="1">
      <c r="A66" s="695" t="s">
        <v>2758</v>
      </c>
      <c r="B66" s="696" t="s">
        <v>27</v>
      </c>
      <c r="C66" s="696" t="s">
        <v>28</v>
      </c>
      <c r="D66" s="696" t="s">
        <v>1028</v>
      </c>
      <c r="E66" s="696">
        <f>IF(B46="楼面地价",SUM(E56:E65),'数据-汇总表'!D3)</f>
        <v>16346.349999999999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2651</v>
      </c>
      <c r="B69" s="759"/>
      <c r="C69" s="764"/>
      <c r="D69" s="764"/>
      <c r="E69" s="764"/>
      <c r="F69" s="765"/>
      <c r="G69" s="765"/>
      <c r="H69" s="764"/>
      <c r="I69" s="764"/>
      <c r="J69" s="1162"/>
      <c r="K69" s="1163"/>
      <c r="L69" s="1164"/>
      <c r="M69" s="1162"/>
      <c r="N69" s="1162"/>
      <c r="O69" s="1162"/>
      <c r="P69" s="503"/>
      <c r="Q69" s="504"/>
    </row>
    <row r="70" spans="1:17" s="508" customFormat="1" ht="15">
      <c r="A70" s="2715" t="s">
        <v>2759</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6" t="s">
        <v>2760</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2562</v>
      </c>
      <c r="B72" s="516"/>
      <c r="C72" s="517"/>
      <c r="D72" s="518"/>
      <c r="E72" s="518"/>
      <c r="F72" s="518"/>
      <c r="G72" s="518"/>
      <c r="H72" s="518"/>
      <c r="I72" s="518"/>
      <c r="J72" s="518"/>
      <c r="K72" s="518"/>
      <c r="L72" s="518"/>
      <c r="M72" s="519"/>
      <c r="N72" s="518"/>
      <c r="O72" s="1165"/>
      <c r="P72" s="504"/>
      <c r="Q72" s="504"/>
    </row>
    <row r="73" spans="1:17" s="117" customFormat="1" ht="15">
      <c r="A73" s="521" t="s">
        <v>2527</v>
      </c>
      <c r="B73" s="510"/>
      <c r="C73" s="522" t="s">
        <v>2629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2565</v>
      </c>
      <c r="B75" s="528" t="s">
        <v>2531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2534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2535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2536</v>
      </c>
      <c r="B88" s="528" t="s">
        <v>2573</v>
      </c>
      <c r="C88" s="573" t="s">
        <v>2574</v>
      </c>
      <c r="D88" s="573" t="s">
        <v>2575</v>
      </c>
      <c r="E88" s="573" t="s">
        <v>2576</v>
      </c>
      <c r="F88" s="573" t="s">
        <v>2577</v>
      </c>
      <c r="G88" s="573" t="s">
        <v>2578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2761</v>
      </c>
      <c r="C90" s="578" t="s">
        <v>2574</v>
      </c>
      <c r="D90" s="578" t="s">
        <v>2575</v>
      </c>
      <c r="E90" s="578" t="s">
        <v>2576</v>
      </c>
      <c r="F90" s="578" t="s">
        <v>2577</v>
      </c>
      <c r="G90" s="578" t="s">
        <v>2578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2674</v>
      </c>
      <c r="C92" s="578" t="s">
        <v>2574</v>
      </c>
      <c r="D92" s="578" t="s">
        <v>2575</v>
      </c>
      <c r="E92" s="578" t="s">
        <v>2576</v>
      </c>
      <c r="F92" s="578" t="s">
        <v>2577</v>
      </c>
      <c r="G92" s="578" t="s">
        <v>2578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2579</v>
      </c>
      <c r="C94" s="578" t="s">
        <v>2574</v>
      </c>
      <c r="D94" s="578" t="s">
        <v>2575</v>
      </c>
      <c r="E94" s="578" t="s">
        <v>2576</v>
      </c>
      <c r="F94" s="578" t="s">
        <v>2577</v>
      </c>
      <c r="G94" s="578" t="s">
        <v>2578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2762</v>
      </c>
      <c r="C96" s="578" t="s">
        <v>2574</v>
      </c>
      <c r="D96" s="578" t="s">
        <v>2575</v>
      </c>
      <c r="E96" s="578" t="s">
        <v>2576</v>
      </c>
      <c r="F96" s="578" t="s">
        <v>2577</v>
      </c>
      <c r="G96" s="578" t="s">
        <v>2578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2763</v>
      </c>
      <c r="C98" s="573" t="s">
        <v>2574</v>
      </c>
      <c r="D98" s="573" t="s">
        <v>2575</v>
      </c>
      <c r="E98" s="573" t="s">
        <v>2576</v>
      </c>
      <c r="F98" s="573" t="s">
        <v>2577</v>
      </c>
      <c r="G98" s="573" t="s">
        <v>2578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2631</v>
      </c>
      <c r="C100" s="573" t="s">
        <v>2574</v>
      </c>
      <c r="D100" s="573" t="s">
        <v>2575</v>
      </c>
      <c r="E100" s="573" t="s">
        <v>2576</v>
      </c>
      <c r="F100" s="573" t="s">
        <v>2577</v>
      </c>
      <c r="G100" s="573" t="s">
        <v>2578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2632</v>
      </c>
      <c r="C102" s="660" t="s">
        <v>2652</v>
      </c>
      <c r="D102" s="660" t="s">
        <v>2653</v>
      </c>
      <c r="E102" s="660" t="s">
        <v>2654</v>
      </c>
      <c r="F102" s="660" t="s">
        <v>2655</v>
      </c>
      <c r="G102" s="660" t="s">
        <v>2656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2764</v>
      </c>
      <c r="D104" s="539" t="s">
        <v>2765</v>
      </c>
      <c r="E104" s="539" t="s">
        <v>2766</v>
      </c>
      <c r="F104" s="539" t="s">
        <v>2767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2668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2727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2540</v>
      </c>
      <c r="B116" s="528" t="s">
        <v>2768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2769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2770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2771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2772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17" sqref="J17"/>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2721</v>
      </c>
      <c r="B1" s="395"/>
      <c r="C1" s="396" t="s">
        <v>2773</v>
      </c>
      <c r="D1" s="755"/>
      <c r="E1" s="755"/>
      <c r="F1" s="754" t="s">
        <v>2620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2304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2306</v>
      </c>
      <c r="B3" s="609" t="e">
        <f>ROUND(IF(D3="",B2*10000/'数据-汇总表'!E3,B2*10000/D3),0)</f>
        <v>#DIV/0!</v>
      </c>
      <c r="C3" s="247" t="s">
        <v>2723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2622</v>
      </c>
      <c r="B4" s="402"/>
      <c r="C4" s="3186" t="s">
        <v>2623</v>
      </c>
      <c r="D4" s="3187"/>
      <c r="E4" s="3188" t="s">
        <v>2624</v>
      </c>
      <c r="F4" s="3189"/>
      <c r="G4" s="3186" t="s">
        <v>2625</v>
      </c>
      <c r="H4" s="3187"/>
      <c r="I4" s="3186" t="s">
        <v>2626</v>
      </c>
      <c r="J4" s="3187"/>
      <c r="K4" s="610" t="s">
        <v>2627</v>
      </c>
      <c r="L4" s="1133"/>
      <c r="M4" s="1134"/>
      <c r="N4" s="1134"/>
      <c r="O4" s="1134"/>
      <c r="P4" s="3190" t="s">
        <v>2628</v>
      </c>
      <c r="Q4" s="3191"/>
      <c r="R4" s="3196" t="s">
        <v>2624</v>
      </c>
      <c r="S4" s="3197"/>
      <c r="T4" s="3196" t="s">
        <v>2625</v>
      </c>
      <c r="U4" s="3197"/>
      <c r="V4" s="3202" t="s">
        <v>2626</v>
      </c>
      <c r="W4" s="3202"/>
      <c r="X4" s="1816"/>
      <c r="Y4" s="3196" t="s">
        <v>2628</v>
      </c>
      <c r="Z4" s="3197"/>
      <c r="AA4" s="3183" t="s">
        <v>2624</v>
      </c>
      <c r="AB4" s="3184" t="s">
        <v>2625</v>
      </c>
      <c r="AC4" s="3183" t="s">
        <v>2626</v>
      </c>
    </row>
    <row r="5" spans="1:29" ht="15">
      <c r="A5" s="404"/>
      <c r="B5" s="405"/>
      <c r="C5" s="3205" t="s">
        <v>2519</v>
      </c>
      <c r="D5" s="3206"/>
      <c r="E5" s="3212" t="s">
        <v>2520</v>
      </c>
      <c r="F5" s="3213"/>
      <c r="G5" s="3205" t="s">
        <v>2521</v>
      </c>
      <c r="H5" s="3206"/>
      <c r="I5" s="3205" t="s">
        <v>2522</v>
      </c>
      <c r="J5" s="3206"/>
      <c r="K5" s="610"/>
      <c r="L5" s="1133"/>
      <c r="M5" s="1134"/>
      <c r="N5" s="1134"/>
      <c r="O5" s="1134"/>
      <c r="P5" s="3192"/>
      <c r="Q5" s="3193"/>
      <c r="R5" s="3198"/>
      <c r="S5" s="3199"/>
      <c r="T5" s="3198"/>
      <c r="U5" s="3199"/>
      <c r="V5" s="3202"/>
      <c r="W5" s="3202"/>
      <c r="X5" s="1816"/>
      <c r="Y5" s="3198"/>
      <c r="Z5" s="3199"/>
      <c r="AA5" s="3184"/>
      <c r="AB5" s="3184"/>
      <c r="AC5" s="3184"/>
    </row>
    <row r="6" spans="1:29" ht="15.75" thickBot="1">
      <c r="A6" s="406"/>
      <c r="B6" s="407"/>
      <c r="C6" s="3234" t="s">
        <v>2774</v>
      </c>
      <c r="D6" s="3235"/>
      <c r="E6" s="3236" t="s">
        <v>2774</v>
      </c>
      <c r="F6" s="3237"/>
      <c r="G6" s="3234" t="s">
        <v>2774</v>
      </c>
      <c r="H6" s="3235"/>
      <c r="I6" s="3234" t="s">
        <v>2774</v>
      </c>
      <c r="J6" s="3235"/>
      <c r="K6" s="610" t="s">
        <v>2524</v>
      </c>
      <c r="L6" s="1133"/>
      <c r="M6" s="1134"/>
      <c r="N6" s="1134"/>
      <c r="O6" s="1134"/>
      <c r="P6" s="3194"/>
      <c r="Q6" s="3195"/>
      <c r="R6" s="3198"/>
      <c r="S6" s="3199"/>
      <c r="T6" s="3200"/>
      <c r="U6" s="3201"/>
      <c r="V6" s="3202"/>
      <c r="W6" s="3202"/>
      <c r="X6" s="1816"/>
      <c r="Y6" s="3200"/>
      <c r="Z6" s="3201"/>
      <c r="AA6" s="3185"/>
      <c r="AB6" s="3185"/>
      <c r="AC6" s="3185"/>
    </row>
    <row r="7" spans="1:29" s="117" customFormat="1" ht="15.75" thickBot="1">
      <c r="A7" s="408" t="s">
        <v>2525</v>
      </c>
      <c r="B7" s="409"/>
      <c r="C7" s="410">
        <f>'数据-取费表'!B2</f>
        <v>43200</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207" t="s">
        <v>2526</v>
      </c>
      <c r="Q7" s="3209"/>
      <c r="R7" s="770" t="s">
        <v>17</v>
      </c>
      <c r="S7" s="771">
        <f t="shared" ref="S7:S15" si="0">F7</f>
        <v>0</v>
      </c>
      <c r="T7" s="770" t="s">
        <v>17</v>
      </c>
      <c r="U7" s="771">
        <f t="shared" ref="U7:U15" si="1">H7</f>
        <v>0</v>
      </c>
      <c r="V7" s="770" t="s">
        <v>17</v>
      </c>
      <c r="W7" s="771">
        <f t="shared" ref="W7:W15" si="2">J7</f>
        <v>0</v>
      </c>
      <c r="X7" s="772"/>
      <c r="Y7" s="3207" t="s">
        <v>2526</v>
      </c>
      <c r="Z7" s="3208"/>
      <c r="AA7" s="773" t="e">
        <f>D7/F7</f>
        <v>#DIV/0!</v>
      </c>
      <c r="AB7" s="773" t="e">
        <f>D7/H7</f>
        <v>#DIV/0!</v>
      </c>
      <c r="AC7" s="773" t="e">
        <f>D7/J7</f>
        <v>#DIV/0!</v>
      </c>
    </row>
    <row r="8" spans="1:29" s="117" customFormat="1" ht="15.75" thickBot="1">
      <c r="A8" s="408" t="s">
        <v>2527</v>
      </c>
      <c r="B8" s="409"/>
      <c r="C8" s="414" t="s">
        <v>2528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7" t="s">
        <v>2529</v>
      </c>
      <c r="Q8" s="3208"/>
      <c r="R8" s="770" t="s">
        <v>17</v>
      </c>
      <c r="S8" s="771">
        <f t="shared" si="0"/>
        <v>0</v>
      </c>
      <c r="T8" s="770" t="s">
        <v>17</v>
      </c>
      <c r="U8" s="771">
        <f t="shared" si="1"/>
        <v>0</v>
      </c>
      <c r="V8" s="770" t="s">
        <v>17</v>
      </c>
      <c r="W8" s="771">
        <f t="shared" si="2"/>
        <v>0</v>
      </c>
      <c r="X8" s="772"/>
      <c r="Y8" s="3207" t="s">
        <v>2529</v>
      </c>
      <c r="Z8" s="3208"/>
      <c r="AA8" s="773" t="e">
        <f t="shared" ref="AA8:AA40" si="3">D8/F8</f>
        <v>#DIV/0!</v>
      </c>
      <c r="AB8" s="773" t="e">
        <f t="shared" ref="AB8:AB40" si="4">D8/H8</f>
        <v>#DIV/0!</v>
      </c>
      <c r="AC8" s="773" t="e">
        <f t="shared" ref="AC8:AC40" si="5">D8/J8</f>
        <v>#DIV/0!</v>
      </c>
    </row>
    <row r="9" spans="1:29" s="117" customFormat="1">
      <c r="A9" s="415" t="s">
        <v>2530</v>
      </c>
      <c r="B9" s="71" t="s">
        <v>2531</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171" t="s">
        <v>2532</v>
      </c>
      <c r="Q9" s="1798" t="str">
        <f t="shared" ref="Q9:Q15" si="6">B9</f>
        <v>用途</v>
      </c>
      <c r="R9" s="770" t="s">
        <v>17</v>
      </c>
      <c r="S9" s="771">
        <f t="shared" si="0"/>
        <v>100</v>
      </c>
      <c r="T9" s="770" t="s">
        <v>17</v>
      </c>
      <c r="U9" s="771">
        <f t="shared" si="1"/>
        <v>100</v>
      </c>
      <c r="V9" s="770" t="s">
        <v>17</v>
      </c>
      <c r="W9" s="771">
        <f t="shared" si="2"/>
        <v>100</v>
      </c>
      <c r="X9" s="772"/>
      <c r="Y9" s="2996" t="s">
        <v>2533</v>
      </c>
      <c r="Z9" s="55" t="str">
        <f t="shared" ref="Z9:Z15" si="7">Q9</f>
        <v>用途</v>
      </c>
      <c r="AA9" s="773">
        <f t="shared" si="3"/>
        <v>1</v>
      </c>
      <c r="AB9" s="773">
        <f t="shared" si="4"/>
        <v>1</v>
      </c>
      <c r="AC9" s="773">
        <f t="shared" si="5"/>
        <v>1</v>
      </c>
    </row>
    <row r="10" spans="1:29" s="427" customFormat="1" ht="27">
      <c r="A10" s="421"/>
      <c r="B10" s="422" t="s">
        <v>2534</v>
      </c>
      <c r="C10" s="432"/>
      <c r="D10" s="136">
        <v>100</v>
      </c>
      <c r="E10" s="432"/>
      <c r="F10" s="136">
        <f>ROUND(100/'数据-取费表'!G16,0)</f>
        <v>107</v>
      </c>
      <c r="G10" s="432"/>
      <c r="H10" s="136">
        <f>ROUND(100/'数据-取费表'!G16,0)</f>
        <v>107</v>
      </c>
      <c r="I10" s="432"/>
      <c r="J10" s="136">
        <f>ROUND(100/'数据-取费表'!G16,0)</f>
        <v>107</v>
      </c>
      <c r="K10" s="672"/>
      <c r="L10" s="1138"/>
      <c r="M10" s="1139"/>
      <c r="N10" s="1139"/>
      <c r="O10" s="1140"/>
      <c r="P10" s="3171"/>
      <c r="Q10" s="1798" t="str">
        <f t="shared" si="6"/>
        <v>土地使用年限（年）</v>
      </c>
      <c r="R10" s="770" t="s">
        <v>17</v>
      </c>
      <c r="S10" s="771">
        <f t="shared" si="0"/>
        <v>107</v>
      </c>
      <c r="T10" s="770" t="s">
        <v>17</v>
      </c>
      <c r="U10" s="771">
        <f t="shared" si="1"/>
        <v>107</v>
      </c>
      <c r="V10" s="770" t="s">
        <v>17</v>
      </c>
      <c r="W10" s="771">
        <f t="shared" si="2"/>
        <v>107</v>
      </c>
      <c r="X10" s="772"/>
      <c r="Y10" s="2996"/>
      <c r="Z10" s="55" t="str">
        <f t="shared" si="7"/>
        <v>土地使用年限（年）</v>
      </c>
      <c r="AA10" s="773">
        <f t="shared" si="3"/>
        <v>0.93457943925233644</v>
      </c>
      <c r="AB10" s="773">
        <f t="shared" si="4"/>
        <v>0.93457943925233644</v>
      </c>
      <c r="AC10" s="773">
        <f t="shared" si="5"/>
        <v>0.93457943925233644</v>
      </c>
    </row>
    <row r="11" spans="1:29" ht="15">
      <c r="A11" s="428"/>
      <c r="B11" s="422" t="s">
        <v>2535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1"/>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1"/>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1"/>
      <c r="Q14" s="1798">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15">
      <c r="A15" s="440" t="s">
        <v>2536</v>
      </c>
      <c r="B15" s="629" t="s">
        <v>2775</v>
      </c>
      <c r="C15" s="2697" t="str">
        <f>估价对象房地状况!G15</f>
        <v>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3" t="s">
        <v>2537</v>
      </c>
      <c r="Q15" s="1813" t="str">
        <f t="shared" si="6"/>
        <v>产业集聚程度</v>
      </c>
      <c r="R15" s="774" t="s">
        <v>17</v>
      </c>
      <c r="S15" s="775">
        <f t="shared" si="0"/>
        <v>100</v>
      </c>
      <c r="T15" s="774" t="s">
        <v>17</v>
      </c>
      <c r="U15" s="775">
        <f t="shared" si="1"/>
        <v>100</v>
      </c>
      <c r="V15" s="774" t="s">
        <v>17</v>
      </c>
      <c r="W15" s="775">
        <f t="shared" si="2"/>
        <v>100</v>
      </c>
      <c r="X15" s="1816"/>
      <c r="Y15" s="3173" t="s">
        <v>2537</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174"/>
      <c r="Q16" s="1813"/>
      <c r="R16" s="774"/>
      <c r="S16" s="775"/>
      <c r="T16" s="774"/>
      <c r="U16" s="775"/>
      <c r="V16" s="774"/>
      <c r="W16" s="775"/>
      <c r="X16" s="1816"/>
      <c r="Y16" s="3174"/>
      <c r="Z16" s="1817"/>
      <c r="AA16" s="1814">
        <v>1</v>
      </c>
      <c r="AB16" s="1814">
        <v>1</v>
      </c>
      <c r="AC16" s="1814">
        <v>1</v>
      </c>
    </row>
    <row r="17" spans="1:29" ht="15">
      <c r="A17" s="428"/>
      <c r="B17" s="631" t="s">
        <v>2686</v>
      </c>
      <c r="C17" s="2611" t="str">
        <f>估价对象房地状况!G16</f>
        <v>一般</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4"/>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174"/>
      <c r="Q18" s="1813"/>
      <c r="R18" s="774"/>
      <c r="S18" s="775"/>
      <c r="T18" s="774"/>
      <c r="U18" s="775"/>
      <c r="V18" s="774"/>
      <c r="W18" s="775"/>
      <c r="X18" s="1816"/>
      <c r="Y18" s="3174"/>
      <c r="Z18" s="1817"/>
      <c r="AA18" s="1814">
        <v>1</v>
      </c>
      <c r="AB18" s="1814">
        <v>1</v>
      </c>
      <c r="AC18" s="1814">
        <v>1</v>
      </c>
    </row>
    <row r="19" spans="1:29" ht="15">
      <c r="A19" s="428"/>
      <c r="B19" s="631" t="s">
        <v>2725</v>
      </c>
      <c r="C19" s="2611"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4"/>
      <c r="Q19" s="1813" t="str">
        <f t="shared" ref="Q19:Q33" si="8">B19</f>
        <v>区域土地利用方向</v>
      </c>
      <c r="R19" s="774" t="s">
        <v>17</v>
      </c>
      <c r="S19" s="775">
        <f>F19</f>
        <v>100</v>
      </c>
      <c r="T19" s="774" t="s">
        <v>17</v>
      </c>
      <c r="U19" s="775">
        <f>H19</f>
        <v>100</v>
      </c>
      <c r="V19" s="774" t="s">
        <v>17</v>
      </c>
      <c r="W19" s="775">
        <f>J19</f>
        <v>100</v>
      </c>
      <c r="X19" s="1816"/>
      <c r="Y19" s="3174"/>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174"/>
      <c r="Q20" s="1813"/>
      <c r="R20" s="774"/>
      <c r="S20" s="775"/>
      <c r="T20" s="774"/>
      <c r="U20" s="775"/>
      <c r="V20" s="774"/>
      <c r="W20" s="775"/>
      <c r="X20" s="1816"/>
      <c r="Y20" s="3174"/>
      <c r="Z20" s="1817"/>
      <c r="AA20" s="1814"/>
      <c r="AB20" s="1814"/>
      <c r="AC20" s="1814"/>
    </row>
    <row r="21" spans="1:29" ht="15">
      <c r="A21" s="404"/>
      <c r="B21" s="631" t="s">
        <v>2776</v>
      </c>
      <c r="C21" s="2611" t="str">
        <f>估价对象房地状况!G18</f>
        <v>一般</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4"/>
      <c r="Q21" s="1813" t="str">
        <f t="shared" si="8"/>
        <v>环境状况</v>
      </c>
      <c r="R21" s="774" t="s">
        <v>17</v>
      </c>
      <c r="S21" s="775">
        <f>F21</f>
        <v>100</v>
      </c>
      <c r="T21" s="774" t="s">
        <v>17</v>
      </c>
      <c r="U21" s="775">
        <f>H21</f>
        <v>100</v>
      </c>
      <c r="V21" s="774" t="s">
        <v>17</v>
      </c>
      <c r="W21" s="775">
        <f>J21</f>
        <v>100</v>
      </c>
      <c r="X21" s="1816"/>
      <c r="Y21" s="3174"/>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174"/>
      <c r="Q22" s="1813"/>
      <c r="R22" s="774"/>
      <c r="S22" s="775"/>
      <c r="T22" s="774"/>
      <c r="U22" s="775"/>
      <c r="V22" s="774"/>
      <c r="W22" s="775"/>
      <c r="X22" s="1816"/>
      <c r="Y22" s="3174"/>
      <c r="Z22" s="1817"/>
      <c r="AA22" s="1814">
        <v>1</v>
      </c>
      <c r="AB22" s="1814">
        <v>1</v>
      </c>
      <c r="AC22" s="1814">
        <v>1</v>
      </c>
    </row>
    <row r="23" spans="1:29" s="117" customFormat="1" ht="15">
      <c r="A23" s="649"/>
      <c r="B23" s="633" t="s">
        <v>2631</v>
      </c>
      <c r="C23" s="2611" t="str">
        <f>估价对象房地状况!G19</f>
        <v>一般</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4"/>
      <c r="Q23" s="1798" t="str">
        <f t="shared" si="8"/>
        <v>公共配套设施</v>
      </c>
      <c r="R23" s="770" t="s">
        <v>17</v>
      </c>
      <c r="S23" s="771">
        <f>F23</f>
        <v>100</v>
      </c>
      <c r="T23" s="770" t="s">
        <v>17</v>
      </c>
      <c r="U23" s="771">
        <f>H23</f>
        <v>100</v>
      </c>
      <c r="V23" s="770" t="s">
        <v>17</v>
      </c>
      <c r="W23" s="771">
        <f>J23</f>
        <v>100</v>
      </c>
      <c r="X23" s="772"/>
      <c r="Y23" s="3174"/>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5"/>
      <c r="M24" s="1136"/>
      <c r="N24" s="1136"/>
      <c r="O24" s="1137"/>
      <c r="P24" s="3174"/>
      <c r="Q24" s="1798"/>
      <c r="R24" s="770"/>
      <c r="S24" s="771"/>
      <c r="T24" s="770"/>
      <c r="U24" s="771"/>
      <c r="V24" s="770"/>
      <c r="W24" s="771"/>
      <c r="X24" s="772"/>
      <c r="Y24" s="3174"/>
      <c r="Z24" s="55"/>
      <c r="AA24" s="773">
        <v>1</v>
      </c>
      <c r="AB24" s="773">
        <v>1</v>
      </c>
      <c r="AC24" s="773">
        <v>1</v>
      </c>
    </row>
    <row r="25" spans="1:29" s="117" customFormat="1" ht="15">
      <c r="A25" s="649"/>
      <c r="B25" s="633" t="s">
        <v>2632</v>
      </c>
      <c r="C25" s="2611" t="str">
        <f>估价对象房地状况!G20</f>
        <v>五通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4"/>
      <c r="Q25" s="1798" t="str">
        <f t="shared" ref="Q25" si="9">B25</f>
        <v>基础设施水平</v>
      </c>
      <c r="R25" s="770" t="s">
        <v>17</v>
      </c>
      <c r="S25" s="771">
        <f>F25</f>
        <v>100</v>
      </c>
      <c r="T25" s="770" t="s">
        <v>17</v>
      </c>
      <c r="U25" s="771">
        <f>H25</f>
        <v>100</v>
      </c>
      <c r="V25" s="770" t="s">
        <v>17</v>
      </c>
      <c r="W25" s="771">
        <f>J25</f>
        <v>100</v>
      </c>
      <c r="X25" s="772"/>
      <c r="Y25" s="3174"/>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174"/>
      <c r="Q26" s="1798"/>
      <c r="R26" s="770"/>
      <c r="S26" s="771"/>
      <c r="T26" s="770"/>
      <c r="U26" s="771"/>
      <c r="V26" s="770"/>
      <c r="W26" s="771"/>
      <c r="X26" s="772"/>
      <c r="Y26" s="3174"/>
      <c r="Z26" s="55"/>
      <c r="AA26" s="773">
        <v>1</v>
      </c>
      <c r="AB26" s="773">
        <v>1</v>
      </c>
      <c r="AC26" s="773">
        <v>1</v>
      </c>
    </row>
    <row r="27" spans="1:29" ht="15">
      <c r="A27" s="428"/>
      <c r="B27" s="632" t="s">
        <v>2633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4"/>
      <c r="Z27" s="1817" t="str">
        <f t="shared" ref="Z27:Z40" si="13">Q27</f>
        <v>临街状况</v>
      </c>
      <c r="AA27" s="1814">
        <f t="shared" si="3"/>
        <v>1</v>
      </c>
      <c r="AB27" s="1814">
        <f t="shared" si="4"/>
        <v>1</v>
      </c>
      <c r="AC27" s="1814">
        <f t="shared" si="5"/>
        <v>1</v>
      </c>
    </row>
    <row r="28" spans="1:29" ht="28.5">
      <c r="A28" s="428"/>
      <c r="B28" s="633" t="s">
        <v>2668</v>
      </c>
      <c r="C28" s="2717" t="str">
        <f>估价对象房地状况!G22</f>
        <v>城市次干道——白马路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4"/>
      <c r="Q28" s="1813" t="str">
        <f t="shared" si="8"/>
        <v>毗邻道路的类型与等级</v>
      </c>
      <c r="R28" s="774" t="s">
        <v>17</v>
      </c>
      <c r="S28" s="775">
        <f t="shared" si="10"/>
        <v>100</v>
      </c>
      <c r="T28" s="774" t="s">
        <v>17</v>
      </c>
      <c r="U28" s="775">
        <f t="shared" si="11"/>
        <v>100</v>
      </c>
      <c r="V28" s="774" t="s">
        <v>17</v>
      </c>
      <c r="W28" s="775">
        <f t="shared" si="12"/>
        <v>100</v>
      </c>
      <c r="X28" s="1816"/>
      <c r="Y28" s="3174"/>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174"/>
      <c r="Q29" s="1813"/>
      <c r="R29" s="774"/>
      <c r="S29" s="775"/>
      <c r="T29" s="774"/>
      <c r="U29" s="775"/>
      <c r="V29" s="774"/>
      <c r="W29" s="775"/>
      <c r="X29" s="1816"/>
      <c r="Y29" s="3174"/>
      <c r="Z29" s="1817"/>
      <c r="AA29" s="1814">
        <v>1</v>
      </c>
      <c r="AB29" s="1814">
        <v>1</v>
      </c>
      <c r="AC29" s="1814">
        <v>1</v>
      </c>
    </row>
    <row r="30" spans="1:29" ht="15">
      <c r="A30" s="428"/>
      <c r="B30" s="654" t="s">
        <v>2727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4"/>
      <c r="Q30" s="1813" t="str">
        <f t="shared" si="8"/>
        <v>土地级别</v>
      </c>
      <c r="R30" s="774" t="s">
        <v>17</v>
      </c>
      <c r="S30" s="775">
        <f t="shared" si="10"/>
        <v>100</v>
      </c>
      <c r="T30" s="774" t="s">
        <v>17</v>
      </c>
      <c r="U30" s="775">
        <f t="shared" si="11"/>
        <v>100</v>
      </c>
      <c r="V30" s="774" t="s">
        <v>17</v>
      </c>
      <c r="W30" s="775">
        <f t="shared" si="12"/>
        <v>100</v>
      </c>
      <c r="X30" s="1816"/>
      <c r="Y30" s="3174"/>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4"/>
      <c r="Q31" s="1813">
        <f t="shared" si="8"/>
        <v>111</v>
      </c>
      <c r="R31" s="774" t="s">
        <v>17</v>
      </c>
      <c r="S31" s="775">
        <f t="shared" si="10"/>
        <v>100</v>
      </c>
      <c r="T31" s="774" t="s">
        <v>17</v>
      </c>
      <c r="U31" s="775">
        <f t="shared" si="11"/>
        <v>100</v>
      </c>
      <c r="V31" s="774" t="s">
        <v>17</v>
      </c>
      <c r="W31" s="775">
        <f t="shared" si="12"/>
        <v>100</v>
      </c>
      <c r="X31" s="1816"/>
      <c r="Y31" s="3174"/>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9" t="s">
        <v>2542</v>
      </c>
      <c r="Q32" s="1813">
        <f t="shared" si="8"/>
        <v>111</v>
      </c>
      <c r="R32" s="774" t="s">
        <v>17</v>
      </c>
      <c r="S32" s="775">
        <f t="shared" si="10"/>
        <v>100</v>
      </c>
      <c r="T32" s="774" t="s">
        <v>17</v>
      </c>
      <c r="U32" s="775">
        <f t="shared" si="11"/>
        <v>100</v>
      </c>
      <c r="V32" s="774" t="s">
        <v>17</v>
      </c>
      <c r="W32" s="775">
        <f t="shared" si="12"/>
        <v>100</v>
      </c>
      <c r="X32" s="1816"/>
      <c r="Y32" s="3178" t="s">
        <v>2542</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8"/>
      <c r="Q33" s="1813">
        <f t="shared" si="8"/>
        <v>111</v>
      </c>
      <c r="R33" s="777" t="s">
        <v>17</v>
      </c>
      <c r="S33" s="778">
        <f t="shared" si="10"/>
        <v>100</v>
      </c>
      <c r="T33" s="777" t="s">
        <v>17</v>
      </c>
      <c r="U33" s="778">
        <f t="shared" si="11"/>
        <v>100</v>
      </c>
      <c r="V33" s="777" t="s">
        <v>17</v>
      </c>
      <c r="W33" s="778">
        <f t="shared" si="12"/>
        <v>100</v>
      </c>
      <c r="X33" s="779"/>
      <c r="Y33" s="3178"/>
      <c r="Z33" s="780">
        <f t="shared" si="13"/>
        <v>111</v>
      </c>
      <c r="AA33" s="1814">
        <f t="shared" si="3"/>
        <v>1</v>
      </c>
      <c r="AB33" s="1814">
        <f t="shared" si="4"/>
        <v>1</v>
      </c>
      <c r="AC33" s="1814">
        <f t="shared" si="5"/>
        <v>1</v>
      </c>
    </row>
    <row r="34" spans="1:29" ht="15">
      <c r="A34" s="440" t="s">
        <v>2540</v>
      </c>
      <c r="B34" s="456" t="s">
        <v>2728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8"/>
      <c r="Q34" s="1813" t="str">
        <f>B34</f>
        <v>宗地面积</v>
      </c>
      <c r="R34" s="774" t="s">
        <v>17</v>
      </c>
      <c r="S34" s="775" t="e">
        <f t="shared" si="10"/>
        <v>#N/A</v>
      </c>
      <c r="T34" s="774" t="s">
        <v>17</v>
      </c>
      <c r="U34" s="775" t="e">
        <f t="shared" si="11"/>
        <v>#N/A</v>
      </c>
      <c r="V34" s="774" t="s">
        <v>17</v>
      </c>
      <c r="W34" s="775" t="e">
        <f t="shared" si="12"/>
        <v>#N/A</v>
      </c>
      <c r="X34" s="1816"/>
      <c r="Y34" s="3178"/>
      <c r="Z34" s="1817" t="str">
        <f t="shared" si="13"/>
        <v>宗地面积</v>
      </c>
      <c r="AA34" s="1814" t="e">
        <f t="shared" si="3"/>
        <v>#N/A</v>
      </c>
      <c r="AB34" s="1814" t="e">
        <f t="shared" si="4"/>
        <v>#N/A</v>
      </c>
      <c r="AC34" s="1814" t="e">
        <f t="shared" si="5"/>
        <v>#N/A</v>
      </c>
    </row>
    <row r="35" spans="1:29" ht="15">
      <c r="A35" s="472"/>
      <c r="B35" s="422" t="s">
        <v>2729</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178"/>
      <c r="Q35" s="1813" t="str">
        <f t="shared" ref="Q35:Q40" si="14">B35</f>
        <v>宗地形状</v>
      </c>
      <c r="R35" s="774" t="s">
        <v>17</v>
      </c>
      <c r="S35" s="775">
        <f t="shared" si="10"/>
        <v>100</v>
      </c>
      <c r="T35" s="774" t="s">
        <v>17</v>
      </c>
      <c r="U35" s="775">
        <f t="shared" si="11"/>
        <v>100</v>
      </c>
      <c r="V35" s="774" t="s">
        <v>17</v>
      </c>
      <c r="W35" s="775">
        <f t="shared" si="12"/>
        <v>100</v>
      </c>
      <c r="X35" s="1816"/>
      <c r="Y35" s="3178"/>
      <c r="Z35" s="1817" t="str">
        <f t="shared" si="13"/>
        <v>宗地形状</v>
      </c>
      <c r="AA35" s="1814">
        <f t="shared" si="3"/>
        <v>1</v>
      </c>
      <c r="AB35" s="1814">
        <f t="shared" si="4"/>
        <v>1</v>
      </c>
      <c r="AC35" s="1814">
        <f t="shared" si="5"/>
        <v>1</v>
      </c>
    </row>
    <row r="36" spans="1:29" s="117" customFormat="1" ht="15">
      <c r="A36" s="473"/>
      <c r="B36" s="422" t="s">
        <v>2731</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178"/>
      <c r="Q36" s="1813" t="str">
        <f t="shared" si="14"/>
        <v>宗地开发程度</v>
      </c>
      <c r="R36" s="770" t="s">
        <v>17</v>
      </c>
      <c r="S36" s="771">
        <f t="shared" si="10"/>
        <v>100</v>
      </c>
      <c r="T36" s="770" t="s">
        <v>17</v>
      </c>
      <c r="U36" s="771">
        <f t="shared" si="11"/>
        <v>100</v>
      </c>
      <c r="V36" s="770" t="s">
        <v>17</v>
      </c>
      <c r="W36" s="771">
        <f t="shared" si="12"/>
        <v>100</v>
      </c>
      <c r="X36" s="772"/>
      <c r="Y36" s="3178"/>
      <c r="Z36" s="55" t="str">
        <f t="shared" si="13"/>
        <v>宗地开发程度</v>
      </c>
      <c r="AA36" s="773">
        <f t="shared" si="3"/>
        <v>1</v>
      </c>
      <c r="AB36" s="773">
        <f t="shared" si="4"/>
        <v>1</v>
      </c>
      <c r="AC36" s="773">
        <f t="shared" si="5"/>
        <v>1</v>
      </c>
    </row>
    <row r="37" spans="1:29" ht="15">
      <c r="A37" s="472"/>
      <c r="B37" s="422" t="s">
        <v>2732</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178" t="s">
        <v>2542</v>
      </c>
      <c r="Q37" s="1813" t="str">
        <f t="shared" si="14"/>
        <v>工程地质条件</v>
      </c>
      <c r="R37" s="774" t="s">
        <v>17</v>
      </c>
      <c r="S37" s="775">
        <f t="shared" si="10"/>
        <v>100</v>
      </c>
      <c r="T37" s="774" t="s">
        <v>17</v>
      </c>
      <c r="U37" s="775">
        <f t="shared" si="11"/>
        <v>100</v>
      </c>
      <c r="V37" s="774" t="s">
        <v>17</v>
      </c>
      <c r="W37" s="775">
        <f t="shared" si="12"/>
        <v>100</v>
      </c>
      <c r="X37" s="1816"/>
      <c r="Y37" s="3178" t="s">
        <v>2542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8"/>
      <c r="Q38" s="1813">
        <f t="shared" si="14"/>
        <v>111</v>
      </c>
      <c r="R38" s="774" t="s">
        <v>17</v>
      </c>
      <c r="S38" s="775">
        <f t="shared" si="10"/>
        <v>100</v>
      </c>
      <c r="T38" s="774" t="s">
        <v>17</v>
      </c>
      <c r="U38" s="775">
        <f t="shared" si="11"/>
        <v>100</v>
      </c>
      <c r="V38" s="774" t="s">
        <v>17</v>
      </c>
      <c r="W38" s="775">
        <f t="shared" si="12"/>
        <v>100</v>
      </c>
      <c r="X38" s="1816"/>
      <c r="Y38" s="317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8"/>
      <c r="Q39" s="1813">
        <f t="shared" si="14"/>
        <v>111</v>
      </c>
      <c r="R39" s="774" t="s">
        <v>17</v>
      </c>
      <c r="S39" s="775">
        <f t="shared" si="10"/>
        <v>100</v>
      </c>
      <c r="T39" s="774" t="s">
        <v>17</v>
      </c>
      <c r="U39" s="775">
        <f t="shared" si="11"/>
        <v>100</v>
      </c>
      <c r="V39" s="774" t="s">
        <v>17</v>
      </c>
      <c r="W39" s="775">
        <f t="shared" si="12"/>
        <v>100</v>
      </c>
      <c r="X39" s="1816"/>
      <c r="Y39" s="3178"/>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8"/>
      <c r="Q40" s="1813">
        <f t="shared" si="14"/>
        <v>111</v>
      </c>
      <c r="R40" s="777" t="s">
        <v>17</v>
      </c>
      <c r="S40" s="778">
        <f t="shared" si="10"/>
        <v>100</v>
      </c>
      <c r="T40" s="777" t="s">
        <v>17</v>
      </c>
      <c r="U40" s="778">
        <f t="shared" si="11"/>
        <v>100</v>
      </c>
      <c r="V40" s="777" t="s">
        <v>17</v>
      </c>
      <c r="W40" s="778">
        <f t="shared" si="12"/>
        <v>100</v>
      </c>
      <c r="X40" s="779"/>
      <c r="Y40" s="3178"/>
      <c r="Z40" s="780">
        <f t="shared" si="13"/>
        <v>111</v>
      </c>
      <c r="AA40" s="1814">
        <f t="shared" si="3"/>
        <v>1</v>
      </c>
      <c r="AB40" s="1814">
        <f t="shared" si="4"/>
        <v>1</v>
      </c>
      <c r="AC40" s="1814">
        <f t="shared" si="5"/>
        <v>1</v>
      </c>
    </row>
    <row r="41" spans="1:29" ht="15">
      <c r="A41" s="479" t="s">
        <v>2697</v>
      </c>
      <c r="B41" s="2708" t="s">
        <v>2777</v>
      </c>
      <c r="C41" s="682" t="s">
        <v>1</v>
      </c>
      <c r="D41" s="481"/>
      <c r="E41" s="482"/>
      <c r="F41" s="483"/>
      <c r="G41" s="484"/>
      <c r="H41" s="485"/>
      <c r="I41" s="482"/>
      <c r="J41" s="485"/>
      <c r="K41" s="783"/>
      <c r="L41" s="1146"/>
      <c r="M41" s="1134"/>
      <c r="N41" s="1134"/>
      <c r="O41" s="1147"/>
      <c r="P41" s="3171" t="str">
        <f>A41</f>
        <v>成交单价</v>
      </c>
      <c r="Q41" s="3171"/>
      <c r="R41" s="3202">
        <f>E41</f>
        <v>0</v>
      </c>
      <c r="S41" s="3202"/>
      <c r="T41" s="3202">
        <f>G41</f>
        <v>0</v>
      </c>
      <c r="U41" s="3202"/>
      <c r="V41" s="3202">
        <f>I41</f>
        <v>0</v>
      </c>
      <c r="W41" s="3202"/>
      <c r="X41" s="759"/>
      <c r="Y41" s="781"/>
      <c r="Z41" s="759"/>
      <c r="AA41" s="759"/>
      <c r="AB41" s="759"/>
      <c r="AC41" s="759"/>
    </row>
    <row r="42" spans="1:29" ht="15.75" thickBot="1">
      <c r="A42" s="486" t="s">
        <v>2646</v>
      </c>
      <c r="B42" s="683"/>
      <c r="C42" s="490" t="e">
        <f>R43</f>
        <v>#DIV/0!</v>
      </c>
      <c r="D42" s="489"/>
      <c r="E42" s="490" t="e">
        <f>R42</f>
        <v>#DIV/0!</v>
      </c>
      <c r="F42" s="491"/>
      <c r="G42" s="488" t="e">
        <f>T42</f>
        <v>#DIV/0!</v>
      </c>
      <c r="H42" s="489"/>
      <c r="I42" s="490" t="e">
        <f>V42</f>
        <v>#DIV/0!</v>
      </c>
      <c r="J42" s="489"/>
      <c r="K42" s="784"/>
      <c r="L42" s="1146"/>
      <c r="M42" s="1134"/>
      <c r="N42" s="1134"/>
      <c r="O42" s="1147"/>
      <c r="P42" s="3171" t="str">
        <f>A42</f>
        <v>比较价值（元/平方米）</v>
      </c>
      <c r="Q42" s="3171"/>
      <c r="R42" s="3230" t="e">
        <f>ROUND(PRODUCT(R41,AA7:AA40),0)</f>
        <v>#DIV/0!</v>
      </c>
      <c r="S42" s="3230"/>
      <c r="T42" s="3230" t="e">
        <f>ROUND(PRODUCT(T41,AB7:AB40),0)</f>
        <v>#DIV/0!</v>
      </c>
      <c r="U42" s="3230"/>
      <c r="V42" s="3230" t="e">
        <f>ROUND(PRODUCT(V41,AC7:AC40),0)</f>
        <v>#DIV/0!</v>
      </c>
      <c r="W42" s="3230"/>
      <c r="X42" s="759"/>
      <c r="Y42" s="759"/>
      <c r="Z42" s="759"/>
      <c r="AA42" s="759"/>
      <c r="AB42" s="759"/>
      <c r="AC42" s="759"/>
    </row>
    <row r="43" spans="1:29" ht="15.75" thickBot="1">
      <c r="A43" s="492" t="s">
        <v>2647</v>
      </c>
      <c r="B43" s="493"/>
      <c r="C43" s="494" t="e">
        <f>R43</f>
        <v>#DIV/0!</v>
      </c>
      <c r="D43" s="494"/>
      <c r="E43" s="494"/>
      <c r="F43" s="494"/>
      <c r="G43" s="494"/>
      <c r="H43" s="494"/>
      <c r="I43" s="494"/>
      <c r="J43" s="494"/>
      <c r="K43" s="785"/>
      <c r="L43" s="1146"/>
      <c r="M43" s="1134"/>
      <c r="N43" s="1134"/>
      <c r="O43" s="1147"/>
      <c r="P43" s="3168" t="str">
        <f>A43</f>
        <v>估价对象XX用房的比较价值（楼面单价，元/平方米）</v>
      </c>
      <c r="Q43" s="3169"/>
      <c r="R43" s="3231" t="e">
        <f>ROUND(AVERAGE(R42:V42),0)</f>
        <v>#DIV/0!</v>
      </c>
      <c r="S43" s="3231"/>
      <c r="T43" s="3231"/>
      <c r="U43" s="3231"/>
      <c r="V43" s="3231"/>
      <c r="W43" s="323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2648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2649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2650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2735</v>
      </c>
      <c r="B50" s="685" t="s">
        <v>2736</v>
      </c>
      <c r="C50" s="2709" t="s">
        <v>2737</v>
      </c>
      <c r="D50" s="2710" t="s">
        <v>2738</v>
      </c>
      <c r="E50" s="686" t="s">
        <v>2739</v>
      </c>
      <c r="F50" s="687" t="s">
        <v>2740</v>
      </c>
      <c r="G50" s="3186" t="s">
        <v>2741</v>
      </c>
      <c r="H50" s="3232"/>
      <c r="I50" s="1817" t="s">
        <v>2778</v>
      </c>
      <c r="J50" s="1817">
        <f>项目基本情况!F35</f>
        <v>0</v>
      </c>
      <c r="K50" s="2712" t="s">
        <v>2743</v>
      </c>
      <c r="L50" s="1109"/>
      <c r="M50" s="1147"/>
      <c r="N50" s="1147"/>
      <c r="O50" s="1147"/>
    </row>
    <row r="51" spans="1:17" s="692" customFormat="1">
      <c r="A51" s="688" t="s">
        <v>2744</v>
      </c>
      <c r="B51" s="689" t="e">
        <f>C43</f>
        <v>#DIV/0!</v>
      </c>
      <c r="C51" s="690">
        <v>1</v>
      </c>
      <c r="D51" s="1166">
        <v>1</v>
      </c>
      <c r="E51" s="690">
        <f>'数据-汇总表'!E8+'数据-汇总表'!E9</f>
        <v>16346.349999999999</v>
      </c>
      <c r="F51" s="691" t="e">
        <f t="shared" ref="F51:F60" si="15">ROUND(B51*E51/10000,0)</f>
        <v>#DIV/0!</v>
      </c>
      <c r="G51" s="3182"/>
      <c r="H51" s="3171"/>
      <c r="I51" s="945">
        <v>1</v>
      </c>
      <c r="J51" s="945">
        <v>1</v>
      </c>
      <c r="K51" s="1148"/>
      <c r="L51" s="944"/>
      <c r="M51" s="944"/>
      <c r="N51" s="944"/>
      <c r="O51" s="944"/>
    </row>
    <row r="52" spans="1:17" s="692" customFormat="1">
      <c r="A52" s="693" t="s">
        <v>2745</v>
      </c>
      <c r="B52" s="262" t="e">
        <f>ROUND($C$43*C52*D52,0)</f>
        <v>#DIV/0!</v>
      </c>
      <c r="C52" s="200">
        <f t="shared" ref="C52:C60" si="16">IF($C$50="北京市系数",I52,J52)</f>
        <v>0</v>
      </c>
      <c r="D52" s="1167">
        <v>0.25</v>
      </c>
      <c r="E52" s="694"/>
      <c r="F52" s="691" t="e">
        <f t="shared" si="15"/>
        <v>#DIV/0!</v>
      </c>
      <c r="G52" s="3233" t="s">
        <v>2746</v>
      </c>
      <c r="H52" s="1107">
        <f>项目基本情况!B37</f>
        <v>0</v>
      </c>
      <c r="I52" s="945">
        <f>SUMIF(修正!A45:A56,H52,修正!B45:B56)</f>
        <v>0</v>
      </c>
      <c r="J52" s="946"/>
      <c r="K52" s="1147"/>
      <c r="L52" s="944"/>
      <c r="M52" s="944"/>
      <c r="N52" s="944"/>
      <c r="O52" s="944"/>
    </row>
    <row r="53" spans="1:17" s="692" customFormat="1">
      <c r="A53" s="693" t="s">
        <v>2747</v>
      </c>
      <c r="B53" s="262" t="e">
        <f t="shared" ref="B53:B60" si="17">ROUND($C$43*C53*D53,0)</f>
        <v>#DIV/0!</v>
      </c>
      <c r="C53" s="200">
        <f t="shared" si="16"/>
        <v>0</v>
      </c>
      <c r="D53" s="1167">
        <v>0.25</v>
      </c>
      <c r="E53" s="694"/>
      <c r="F53" s="691" t="e">
        <f t="shared" si="15"/>
        <v>#DIV/0!</v>
      </c>
      <c r="G53" s="3233"/>
      <c r="H53" s="1107">
        <f>项目基本情况!B37</f>
        <v>0</v>
      </c>
      <c r="I53" s="945">
        <f>SUMIF(修正!A45:A56,H53,修正!C45:C56)</f>
        <v>0</v>
      </c>
      <c r="J53" s="946"/>
      <c r="K53" s="1148"/>
      <c r="L53" s="944"/>
      <c r="M53" s="944"/>
      <c r="N53" s="944"/>
      <c r="O53" s="944"/>
    </row>
    <row r="54" spans="1:17" s="692" customFormat="1">
      <c r="A54" s="693" t="s">
        <v>2748</v>
      </c>
      <c r="B54" s="262" t="e">
        <f t="shared" si="17"/>
        <v>#DIV/0!</v>
      </c>
      <c r="C54" s="200">
        <f t="shared" si="16"/>
        <v>0</v>
      </c>
      <c r="D54" s="1167">
        <v>0.25</v>
      </c>
      <c r="E54" s="694"/>
      <c r="F54" s="691" t="e">
        <f t="shared" si="15"/>
        <v>#DIV/0!</v>
      </c>
      <c r="G54" s="3233"/>
      <c r="H54" s="1107">
        <f>项目基本情况!B37</f>
        <v>0</v>
      </c>
      <c r="I54" s="945">
        <f>SUMIF(修正!A45:A56,H54,修正!D45:D56)</f>
        <v>0</v>
      </c>
      <c r="J54" s="946"/>
      <c r="K54" s="1147"/>
      <c r="L54" s="944"/>
      <c r="M54" s="944"/>
      <c r="N54" s="944"/>
      <c r="O54" s="944"/>
    </row>
    <row r="55" spans="1:17" s="692" customFormat="1">
      <c r="A55" s="693" t="s">
        <v>2749</v>
      </c>
      <c r="B55" s="262" t="e">
        <f t="shared" si="17"/>
        <v>#DIV/0!</v>
      </c>
      <c r="C55" s="200">
        <f t="shared" si="16"/>
        <v>0</v>
      </c>
      <c r="D55" s="1167">
        <v>0.25</v>
      </c>
      <c r="E55" s="694"/>
      <c r="F55" s="691" t="e">
        <f t="shared" si="15"/>
        <v>#DIV/0!</v>
      </c>
      <c r="G55" s="3233"/>
      <c r="H55" s="1107">
        <f>项目基本情况!B37</f>
        <v>0</v>
      </c>
      <c r="I55" s="945">
        <f>SUMIF(修正!A45:A56,H55,修正!E45:E56)</f>
        <v>0</v>
      </c>
      <c r="J55" s="946"/>
      <c r="K55" s="1148"/>
      <c r="L55" s="944"/>
      <c r="M55" s="944"/>
      <c r="N55" s="944"/>
      <c r="O55" s="944"/>
    </row>
    <row r="56" spans="1:17" s="692" customFormat="1">
      <c r="A56" s="693" t="s">
        <v>2750</v>
      </c>
      <c r="B56" s="262" t="e">
        <f t="shared" si="17"/>
        <v>#DIV/0!</v>
      </c>
      <c r="C56" s="200">
        <f t="shared" si="16"/>
        <v>0</v>
      </c>
      <c r="D56" s="1167">
        <v>0.25</v>
      </c>
      <c r="E56" s="261">
        <f>'数据-汇总表'!E11</f>
        <v>0</v>
      </c>
      <c r="F56" s="691" t="e">
        <f t="shared" si="15"/>
        <v>#DIV/0!</v>
      </c>
      <c r="G56" s="2713" t="s">
        <v>2751</v>
      </c>
      <c r="H56" s="1107">
        <f>项目基本情况!C37</f>
        <v>0</v>
      </c>
      <c r="I56" s="945">
        <f>SUMIF(修正!A45:A56,H56,修正!F45:F56)</f>
        <v>0</v>
      </c>
      <c r="J56" s="946"/>
      <c r="K56" s="1147"/>
      <c r="L56" s="944"/>
      <c r="M56" s="944"/>
      <c r="N56" s="944"/>
      <c r="O56" s="944"/>
    </row>
    <row r="57" spans="1:17" s="692" customFormat="1">
      <c r="A57" s="693" t="s">
        <v>2752</v>
      </c>
      <c r="B57" s="262" t="e">
        <f t="shared" si="17"/>
        <v>#DIV/0!</v>
      </c>
      <c r="C57" s="200">
        <f t="shared" si="16"/>
        <v>0</v>
      </c>
      <c r="D57" s="1167">
        <v>0.25</v>
      </c>
      <c r="E57" s="261">
        <f>'数据-汇总表'!E12</f>
        <v>0</v>
      </c>
      <c r="F57" s="691" t="e">
        <f t="shared" si="15"/>
        <v>#DIV/0!</v>
      </c>
      <c r="G57" s="1112" t="s">
        <v>2753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2754</v>
      </c>
      <c r="B58" s="262" t="e">
        <f t="shared" si="17"/>
        <v>#DIV/0!</v>
      </c>
      <c r="C58" s="200">
        <f t="shared" si="16"/>
        <v>0</v>
      </c>
      <c r="D58" s="1167">
        <v>0.25</v>
      </c>
      <c r="E58" s="261">
        <f>'数据-汇总表'!E13</f>
        <v>0</v>
      </c>
      <c r="F58" s="691" t="e">
        <f t="shared" si="15"/>
        <v>#DIV/0!</v>
      </c>
      <c r="G58" s="1112" t="s">
        <v>2755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2756</v>
      </c>
      <c r="B59" s="262" t="e">
        <f t="shared" si="17"/>
        <v>#DIV/0!</v>
      </c>
      <c r="C59" s="200">
        <f t="shared" si="16"/>
        <v>0</v>
      </c>
      <c r="D59" s="1167">
        <v>0.25</v>
      </c>
      <c r="E59" s="261">
        <f>'数据-汇总表'!E14</f>
        <v>0</v>
      </c>
      <c r="F59" s="691" t="e">
        <f t="shared" si="15"/>
        <v>#DIV/0!</v>
      </c>
      <c r="G59" s="2713" t="s">
        <v>2746</v>
      </c>
      <c r="H59" s="1107">
        <f>项目基本情况!B37</f>
        <v>0</v>
      </c>
      <c r="I59" s="945">
        <f>SUMIF(修正!A45:A56,H59,修正!H45:H56)</f>
        <v>0</v>
      </c>
      <c r="J59" s="946"/>
      <c r="K59" s="1148"/>
      <c r="L59" s="944"/>
      <c r="M59" s="944"/>
      <c r="N59" s="944"/>
      <c r="O59" s="944"/>
    </row>
    <row r="60" spans="1:17" s="692" customFormat="1" ht="15" thickBot="1">
      <c r="A60" s="693" t="s">
        <v>2757</v>
      </c>
      <c r="B60" s="262" t="e">
        <f t="shared" si="17"/>
        <v>#DIV/0!</v>
      </c>
      <c r="C60" s="200">
        <f t="shared" si="16"/>
        <v>0</v>
      </c>
      <c r="D60" s="1167">
        <v>0.25</v>
      </c>
      <c r="E60" s="261">
        <f>'数据-汇总表'!E15</f>
        <v>0</v>
      </c>
      <c r="F60" s="691" t="e">
        <f t="shared" si="15"/>
        <v>#DIV/0!</v>
      </c>
      <c r="G60" s="2714" t="s">
        <v>2751</v>
      </c>
      <c r="H60" s="1117">
        <f>项目基本情况!C37</f>
        <v>0</v>
      </c>
      <c r="I60" s="945">
        <f>SUMIF(修正!A45:A56,H60,修正!H45:H56)</f>
        <v>0</v>
      </c>
      <c r="J60" s="946"/>
      <c r="K60" s="1147"/>
      <c r="L60" s="944"/>
      <c r="M60" s="944"/>
      <c r="N60" s="944"/>
      <c r="O60" s="944"/>
    </row>
    <row r="61" spans="1:17" s="692" customFormat="1" ht="15" thickBot="1">
      <c r="A61" s="695" t="s">
        <v>2758</v>
      </c>
      <c r="B61" s="696" t="s">
        <v>27</v>
      </c>
      <c r="C61" s="696" t="s">
        <v>28</v>
      </c>
      <c r="D61" s="696" t="s">
        <v>1028</v>
      </c>
      <c r="E61" s="696">
        <f>IF(B41="楼面地价",SUM(E51:E60),'数据-汇总表'!D3)</f>
        <v>13177.7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2651</v>
      </c>
      <c r="B64" s="759"/>
      <c r="C64" s="764"/>
      <c r="D64" s="764"/>
      <c r="E64" s="764"/>
      <c r="F64" s="765"/>
      <c r="G64" s="765"/>
      <c r="H64" s="764"/>
      <c r="I64" s="764"/>
      <c r="J64" s="764"/>
      <c r="K64" s="766"/>
      <c r="L64" s="767"/>
      <c r="M64" s="764"/>
      <c r="N64" s="764"/>
      <c r="O64" s="1162"/>
      <c r="P64" s="503"/>
      <c r="Q64" s="504"/>
    </row>
    <row r="65" spans="1:17" s="508" customFormat="1" ht="15">
      <c r="A65" s="2715" t="s">
        <v>2759</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0" t="s">
        <v>2779</v>
      </c>
      <c r="B66" s="332" t="str">
        <f>"北京市平均增长率"&amp;TEXT(基准地价修正!P24,"0.00%")</f>
        <v>北京市平均增长率1.24%</v>
      </c>
      <c r="C66" s="603">
        <v>100</v>
      </c>
      <c r="D66" s="595"/>
      <c r="E66" s="595"/>
      <c r="F66" s="595"/>
      <c r="G66" s="595"/>
      <c r="H66" s="595"/>
      <c r="I66" s="595"/>
      <c r="J66" s="595"/>
      <c r="K66" s="595"/>
      <c r="L66" s="595"/>
      <c r="M66" s="1570"/>
      <c r="N66" s="1570"/>
      <c r="O66" s="1572"/>
      <c r="P66" s="504"/>
    </row>
    <row r="67" spans="1:17" s="117" customFormat="1" ht="15.75" thickBot="1">
      <c r="A67" s="515" t="s">
        <v>2562</v>
      </c>
      <c r="B67" s="516"/>
      <c r="C67" s="517"/>
      <c r="D67" s="518"/>
      <c r="E67" s="518"/>
      <c r="F67" s="518"/>
      <c r="G67" s="518"/>
      <c r="H67" s="518"/>
      <c r="I67" s="518"/>
      <c r="J67" s="518"/>
      <c r="K67" s="518"/>
      <c r="L67" s="518"/>
      <c r="M67" s="519"/>
      <c r="N67" s="519"/>
      <c r="O67" s="520"/>
      <c r="P67" s="504"/>
      <c r="Q67" s="504"/>
    </row>
    <row r="68" spans="1:17" s="117" customFormat="1" ht="15">
      <c r="A68" s="521" t="s">
        <v>2527</v>
      </c>
      <c r="B68" s="510"/>
      <c r="C68" s="522" t="s">
        <v>2629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2565</v>
      </c>
      <c r="B70" s="528" t="s">
        <v>2531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2534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2535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2536</v>
      </c>
      <c r="B83" s="528" t="s">
        <v>2682</v>
      </c>
      <c r="C83" s="573" t="s">
        <v>2574</v>
      </c>
      <c r="D83" s="573" t="s">
        <v>2575</v>
      </c>
      <c r="E83" s="573" t="s">
        <v>2576</v>
      </c>
      <c r="F83" s="573" t="s">
        <v>2577</v>
      </c>
      <c r="G83" s="573" t="s">
        <v>2578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2579</v>
      </c>
      <c r="C85" s="578" t="s">
        <v>2574</v>
      </c>
      <c r="D85" s="578" t="s">
        <v>2575</v>
      </c>
      <c r="E85" s="578" t="s">
        <v>2576</v>
      </c>
      <c r="F85" s="578" t="s">
        <v>2577</v>
      </c>
      <c r="G85" s="578" t="s">
        <v>2578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2762</v>
      </c>
      <c r="C87" s="573" t="s">
        <v>2574</v>
      </c>
      <c r="D87" s="573" t="s">
        <v>2575</v>
      </c>
      <c r="E87" s="573" t="s">
        <v>2576</v>
      </c>
      <c r="F87" s="573" t="s">
        <v>2577</v>
      </c>
      <c r="G87" s="573" t="s">
        <v>2578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2763</v>
      </c>
      <c r="C89" s="573" t="s">
        <v>2574</v>
      </c>
      <c r="D89" s="573" t="s">
        <v>2575</v>
      </c>
      <c r="E89" s="573" t="s">
        <v>2576</v>
      </c>
      <c r="F89" s="573" t="s">
        <v>2577</v>
      </c>
      <c r="G89" s="573" t="s">
        <v>2578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2631</v>
      </c>
      <c r="C91" s="573" t="s">
        <v>2574</v>
      </c>
      <c r="D91" s="573" t="s">
        <v>2575</v>
      </c>
      <c r="E91" s="573" t="s">
        <v>2576</v>
      </c>
      <c r="F91" s="573" t="s">
        <v>2577</v>
      </c>
      <c r="G91" s="573" t="s">
        <v>2578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2780</v>
      </c>
      <c r="C93" s="660" t="s">
        <v>2652</v>
      </c>
      <c r="D93" s="660" t="s">
        <v>2653</v>
      </c>
      <c r="E93" s="660" t="s">
        <v>2654</v>
      </c>
      <c r="F93" s="660" t="s">
        <v>2655</v>
      </c>
      <c r="G93" s="660" t="s">
        <v>2656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2764</v>
      </c>
      <c r="D95" s="539" t="s">
        <v>2765</v>
      </c>
      <c r="E95" s="539" t="s">
        <v>2766</v>
      </c>
      <c r="F95" s="539" t="s">
        <v>2767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2668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2727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2540</v>
      </c>
      <c r="B107" s="528" t="s">
        <v>2768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2769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2771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2772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88" sqref="E88"/>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2781</v>
      </c>
      <c r="B1" s="241"/>
      <c r="C1" s="245" t="s">
        <v>2782</v>
      </c>
      <c r="D1" s="388">
        <f>SUM(D29:D30,D33:D39)</f>
        <v>16346.349999999999</v>
      </c>
      <c r="E1" s="2721"/>
      <c r="F1" s="2721"/>
      <c r="G1" s="2721"/>
      <c r="H1" s="2721"/>
      <c r="I1" s="2721"/>
      <c r="J1" s="2721"/>
      <c r="K1" s="1373"/>
      <c r="L1" s="2722" t="s">
        <v>2783</v>
      </c>
      <c r="M1" s="1083">
        <f>SUMPRODUCT((区片价!B5:B9=I2)*(区片价!C3:F3=E2)*(区片价!C5:F9))</f>
        <v>0</v>
      </c>
      <c r="N1" s="1086">
        <f>SUMPRODUCT((因素修正幅度!B5:B9=I2)*(因素修正幅度!C3:F3=E2)*(因素修正幅度!C5:F9))</f>
        <v>0</v>
      </c>
      <c r="O1" s="2723"/>
      <c r="P1" s="2723"/>
      <c r="Q1" s="1373"/>
      <c r="R1" s="1605" t="s">
        <v>2784</v>
      </c>
      <c r="S1" s="1605" t="s">
        <v>2785</v>
      </c>
      <c r="T1" s="1605" t="s">
        <v>2786</v>
      </c>
      <c r="U1" s="1605" t="s">
        <v>2787</v>
      </c>
      <c r="V1" s="1605" t="s">
        <v>2788</v>
      </c>
      <c r="W1" s="1609"/>
      <c r="X1" s="1609"/>
      <c r="Y1" s="1609"/>
      <c r="Z1" s="1609"/>
      <c r="AA1" s="1609"/>
      <c r="AB1" s="1609"/>
      <c r="AC1" s="1610"/>
      <c r="AD1" s="1611"/>
      <c r="AE1" s="1611"/>
      <c r="AF1" s="1611"/>
      <c r="AG1" s="1611"/>
      <c r="AH1" s="1611"/>
      <c r="AI1" s="1611"/>
      <c r="AJ1" s="1612"/>
    </row>
    <row r="2" spans="1:36" ht="15.75">
      <c r="A2" s="245" t="s">
        <v>2789</v>
      </c>
      <c r="B2" s="248">
        <f ca="1">C26</f>
        <v>1684</v>
      </c>
      <c r="C2" s="2725" t="s">
        <v>2790</v>
      </c>
      <c r="D2" s="2726" t="s">
        <v>2791</v>
      </c>
      <c r="E2" s="2727" t="s">
        <v>6</v>
      </c>
      <c r="F2" s="2726" t="s">
        <v>2792</v>
      </c>
      <c r="G2" s="2728" t="str">
        <f>IF(E2="商业",项目基本情况!B37,IF(E2="办公",项目基本情况!C37,IF(E2="住宅",项目基本情况!D37,项目基本情况!E37)))</f>
        <v>八级</v>
      </c>
      <c r="H2" s="2726" t="s">
        <v>2793</v>
      </c>
      <c r="I2" s="2728" t="str">
        <f>IF(E2="商业",项目基本情况!B38,IF(E2="办公",项目基本情况!C38,IF(E2="住宅",项目基本情况!D38,项目基本情况!E38)))</f>
        <v>Ⅷ-顺6</v>
      </c>
      <c r="J2" s="2729"/>
      <c r="K2" s="1373"/>
      <c r="L2" s="2730" t="s">
        <v>2794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1.9419999999999999</v>
      </c>
      <c r="T2" s="1605">
        <f ca="1">ROUND($C$5*$C$18*$C$19*$C$20*S2*$C$24,0)</f>
        <v>2289</v>
      </c>
      <c r="U2" s="1606"/>
      <c r="V2" s="1605">
        <f ca="1">ROUND(T2*U2/10000,0)</f>
        <v>0</v>
      </c>
      <c r="W2" s="1609"/>
      <c r="X2" s="1609"/>
      <c r="Y2" s="1609"/>
      <c r="Z2" s="1609"/>
      <c r="AA2" s="1609"/>
      <c r="AB2" s="1609"/>
      <c r="AC2" s="1610"/>
      <c r="AD2" s="1611"/>
      <c r="AE2" s="1611"/>
      <c r="AF2" s="1611"/>
      <c r="AG2" s="1611"/>
      <c r="AH2" s="1611"/>
      <c r="AI2" s="1611"/>
      <c r="AJ2" s="1612"/>
    </row>
    <row r="3" spans="1:36" ht="15.75">
      <c r="A3" s="247" t="s">
        <v>2795</v>
      </c>
      <c r="B3" s="248">
        <f ca="1">ROUND(B2*10000/D1,0)</f>
        <v>1030</v>
      </c>
      <c r="C3" s="2725" t="s">
        <v>2796</v>
      </c>
      <c r="D3" s="2726" t="s">
        <v>2797</v>
      </c>
      <c r="E3" s="2731" t="s">
        <v>3052</v>
      </c>
      <c r="F3" s="2732" t="s">
        <v>2798</v>
      </c>
      <c r="G3" s="916">
        <f>IF(F3="宗地容积率",'数据-汇总表'!I4,IF(F3="估价对象容积率",'数据-汇总表'!I6,'数据-汇总表'!I7))</f>
        <v>1.24</v>
      </c>
      <c r="H3" s="198" t="s">
        <v>2799</v>
      </c>
      <c r="I3" s="947"/>
      <c r="J3" s="2729" t="s">
        <v>2800</v>
      </c>
      <c r="K3" s="1373"/>
      <c r="L3" s="2730" t="s">
        <v>2801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1.2799</v>
      </c>
      <c r="T3" s="1605">
        <f t="shared" ref="T3:T16" ca="1" si="0">ROUND($C$5*$C$18*$C$19*$C$20*S3*$C$24,0)</f>
        <v>1508</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41"/>
      <c r="B4" s="3242"/>
      <c r="C4" s="3242"/>
      <c r="D4" s="3243"/>
      <c r="E4" s="3243"/>
      <c r="F4" s="3243"/>
      <c r="G4" s="3243"/>
      <c r="H4" s="3243"/>
      <c r="I4" s="3243"/>
      <c r="J4" s="3244"/>
      <c r="K4" s="1373"/>
      <c r="L4" s="2730" t="s">
        <v>2802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1.0072000000000001</v>
      </c>
      <c r="T4" s="1605">
        <f t="shared" ca="1" si="0"/>
        <v>1187</v>
      </c>
      <c r="U4" s="1606"/>
      <c r="V4" s="1605">
        <f t="shared" ca="1" si="1"/>
        <v>0</v>
      </c>
      <c r="W4" s="1609"/>
      <c r="X4" s="1609"/>
      <c r="Y4" s="1609"/>
      <c r="Z4" s="1609"/>
      <c r="AA4" s="1609"/>
      <c r="AB4" s="1609"/>
      <c r="AC4" s="1610"/>
      <c r="AD4" s="1611"/>
      <c r="AE4" s="1611"/>
      <c r="AF4" s="1611"/>
      <c r="AG4" s="1611"/>
      <c r="AH4" s="1611"/>
      <c r="AI4" s="1611"/>
      <c r="AJ4" s="1612"/>
    </row>
    <row r="5" spans="1:36" s="2742" customFormat="1" ht="15.75" thickBot="1">
      <c r="A5" s="2733" t="s">
        <v>806</v>
      </c>
      <c r="B5" s="2734" t="s">
        <v>2803</v>
      </c>
      <c r="C5" s="917">
        <f>ROUND(IF(E2="商业",IF(F16="增加",C6*C7+C16,C6*C7-C16),IF(E2="住宅",IF(F16="增加",C6*C12+C16,C6*C12-C16),IF(F16="增加",C6+C16,C6-C16))),0)</f>
        <v>970</v>
      </c>
      <c r="D5" s="1790">
        <f>ROUND(IF(E2="商业",IF(F16="增加",C6+C16,C6-C16)),0)</f>
        <v>0</v>
      </c>
      <c r="E5" s="2735"/>
      <c r="F5" s="2735"/>
      <c r="G5" s="2736"/>
      <c r="H5" s="2736"/>
      <c r="I5" s="2736"/>
      <c r="J5" s="2737"/>
      <c r="K5" s="2738"/>
      <c r="L5" s="2730" t="s">
        <v>2804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0.75249999999999995</v>
      </c>
      <c r="T5" s="1605">
        <f t="shared" ca="1" si="0"/>
        <v>887</v>
      </c>
      <c r="U5" s="1606"/>
      <c r="V5" s="1605">
        <f t="shared" ca="1" si="1"/>
        <v>0</v>
      </c>
      <c r="W5" s="1609"/>
      <c r="X5" s="1609"/>
      <c r="Y5" s="1609"/>
      <c r="Z5" s="1609"/>
      <c r="AA5" s="1609"/>
      <c r="AB5" s="1609"/>
      <c r="AC5" s="2739"/>
      <c r="AD5" s="2740"/>
      <c r="AE5" s="2740"/>
      <c r="AF5" s="2740"/>
      <c r="AG5" s="2740"/>
      <c r="AH5" s="2740"/>
      <c r="AI5" s="2740"/>
      <c r="AJ5" s="2741"/>
    </row>
    <row r="6" spans="1:36" ht="15.75" thickBot="1">
      <c r="A6" s="2743" t="s">
        <v>2805</v>
      </c>
      <c r="B6" s="2744" t="s">
        <v>2806</v>
      </c>
      <c r="C6" s="918">
        <f>SUMIF(L1:L12,G2,M1:M12)</f>
        <v>940</v>
      </c>
      <c r="D6" s="2745" t="s">
        <v>2807</v>
      </c>
      <c r="E6" s="2746"/>
      <c r="F6" s="2746"/>
      <c r="G6" s="2747"/>
      <c r="H6" s="2747"/>
      <c r="I6" s="2747"/>
      <c r="J6" s="2748"/>
      <c r="K6" s="1845"/>
      <c r="L6" s="2730" t="s">
        <v>2808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0.56589999999999996</v>
      </c>
      <c r="T6" s="1605">
        <f t="shared" ca="1" si="0"/>
        <v>667</v>
      </c>
      <c r="U6" s="1606"/>
      <c r="V6" s="1605">
        <f t="shared" ca="1" si="1"/>
        <v>0</v>
      </c>
      <c r="W6" s="1609"/>
      <c r="X6" s="1609"/>
      <c r="Y6" s="1609"/>
      <c r="Z6" s="1609"/>
      <c r="AA6" s="1609"/>
      <c r="AB6" s="1609"/>
      <c r="AC6" s="2739"/>
      <c r="AD6" s="2740"/>
      <c r="AE6" s="2740"/>
      <c r="AF6" s="2740"/>
      <c r="AG6" s="2740"/>
      <c r="AH6" s="2740"/>
      <c r="AI6" s="2740"/>
      <c r="AJ6" s="2741"/>
    </row>
    <row r="7" spans="1:36" ht="24">
      <c r="A7" s="3245" t="str">
        <f>IF(E2="商业",IF(C8="不临58条商业街","",2),"")</f>
        <v/>
      </c>
      <c r="B7" s="2749" t="s">
        <v>2809</v>
      </c>
      <c r="C7" s="919">
        <f>IF(C8="不临58条商业街",1,ROUND(1+(1.6*E8+1.2*E9+0.8*E10+0.4*E11)*C9,4))</f>
        <v>1</v>
      </c>
      <c r="D7" s="2750" t="s">
        <v>2810</v>
      </c>
      <c r="E7" s="948"/>
      <c r="F7" s="2751"/>
      <c r="G7" s="2752"/>
      <c r="H7" s="2752"/>
      <c r="I7" s="2752"/>
      <c r="J7" s="2753"/>
      <c r="K7" s="1845"/>
      <c r="L7" s="2730" t="s">
        <v>2811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0.45250000000000001</v>
      </c>
      <c r="T7" s="1605">
        <f t="shared" ca="1" si="0"/>
        <v>533</v>
      </c>
      <c r="U7" s="1606"/>
      <c r="V7" s="1605">
        <f t="shared" ca="1" si="1"/>
        <v>0</v>
      </c>
      <c r="W7" s="1819" t="s">
        <v>2812</v>
      </c>
      <c r="X7" s="1607" t="str">
        <f>G2</f>
        <v>八级</v>
      </c>
      <c r="Y7" s="1607" t="s">
        <v>2813</v>
      </c>
      <c r="Z7" s="1608">
        <f>G3</f>
        <v>1.24</v>
      </c>
      <c r="AA7" s="1609"/>
      <c r="AB7" s="1609"/>
      <c r="AC7" s="1610"/>
      <c r="AD7" s="1611"/>
      <c r="AE7" s="1611"/>
      <c r="AF7" s="1611"/>
      <c r="AG7" s="1611"/>
      <c r="AH7" s="1611"/>
      <c r="AI7" s="1611"/>
      <c r="AJ7" s="1612"/>
    </row>
    <row r="8" spans="1:36" ht="25.5">
      <c r="A8" s="3246"/>
      <c r="B8" s="198" t="s">
        <v>2814</v>
      </c>
      <c r="C8" s="2754" t="s">
        <v>3053</v>
      </c>
      <c r="D8" s="920" t="s">
        <v>138</v>
      </c>
      <c r="E8" s="921" t="e">
        <f>ROUND(C11/E7,4)</f>
        <v>#DIV/0!</v>
      </c>
      <c r="F8" s="2755" t="s">
        <v>2815</v>
      </c>
      <c r="G8" s="2756"/>
      <c r="H8" s="2756"/>
      <c r="I8" s="2756"/>
      <c r="J8" s="2757"/>
      <c r="K8" s="1373"/>
      <c r="L8" s="2730" t="s">
        <v>2816</v>
      </c>
      <c r="M8" s="1084">
        <f>SUMPRODUCT((区片价!B206:B244=I2)*(区片价!C3:F3=E2)*(区片价!C206:F244))</f>
        <v>940</v>
      </c>
      <c r="N8" s="1086">
        <f>SUMPRODUCT((因素修正幅度!B206:B244=I2)*(因素修正幅度!C3:F3=E2)*(因素修正幅度!C206:F244))</f>
        <v>0.15</v>
      </c>
      <c r="O8" s="1373"/>
      <c r="P8" s="1373"/>
      <c r="Q8" s="1373"/>
      <c r="R8" s="1605">
        <v>7</v>
      </c>
      <c r="S8" s="1606"/>
      <c r="T8" s="1605">
        <f t="shared" ca="1" si="0"/>
        <v>0</v>
      </c>
      <c r="U8" s="1606"/>
      <c r="V8" s="1605">
        <f t="shared" ca="1" si="1"/>
        <v>0</v>
      </c>
      <c r="W8" s="3238" t="s">
        <v>2817</v>
      </c>
      <c r="X8" s="3239"/>
      <c r="Y8" s="1613" t="s">
        <v>2818</v>
      </c>
      <c r="Z8" s="1613" t="s">
        <v>2819</v>
      </c>
      <c r="AA8" s="1613" t="s">
        <v>2820</v>
      </c>
      <c r="AB8" s="1613" t="s">
        <v>2821</v>
      </c>
      <c r="AC8" s="1613" t="s">
        <v>2822</v>
      </c>
      <c r="AD8" s="1613" t="s">
        <v>2823</v>
      </c>
      <c r="AE8" s="1613" t="s">
        <v>2824</v>
      </c>
      <c r="AF8" s="1613" t="s">
        <v>2825</v>
      </c>
      <c r="AG8" s="1613" t="s">
        <v>2826</v>
      </c>
      <c r="AH8" s="1613" t="s">
        <v>2827</v>
      </c>
      <c r="AI8" s="1613" t="s">
        <v>2828</v>
      </c>
      <c r="AJ8" s="1613" t="s">
        <v>2829</v>
      </c>
    </row>
    <row r="9" spans="1:36" ht="15">
      <c r="A9" s="3246"/>
      <c r="B9" s="198" t="s">
        <v>2830</v>
      </c>
      <c r="C9" s="922">
        <f>SUMIF(修正!C59:C119,C8,修正!E59:E119)</f>
        <v>0</v>
      </c>
      <c r="D9" s="200" t="s">
        <v>139</v>
      </c>
      <c r="E9" s="200" t="e">
        <f>ROUND(C11/E7,4)</f>
        <v>#DIV/0!</v>
      </c>
      <c r="F9" s="2755" t="s">
        <v>2831</v>
      </c>
      <c r="G9" s="2756"/>
      <c r="H9" s="2756"/>
      <c r="I9" s="2756"/>
      <c r="J9" s="2757"/>
      <c r="K9" s="1373"/>
      <c r="L9" s="2730" t="s">
        <v>2832</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40" t="s">
        <v>2833</v>
      </c>
      <c r="X9" s="1614" t="s">
        <v>2834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6"/>
      <c r="B10" s="198" t="s">
        <v>2835</v>
      </c>
      <c r="C10" s="200">
        <f>SUMIF(修正!C59:C119,C8,修正!F59:F119)</f>
        <v>0</v>
      </c>
      <c r="D10" s="200" t="s">
        <v>140</v>
      </c>
      <c r="E10" s="200" t="e">
        <f>ROUND(C11/E7,4)</f>
        <v>#DIV/0!</v>
      </c>
      <c r="F10" s="2755" t="s">
        <v>2836</v>
      </c>
      <c r="G10" s="2756"/>
      <c r="H10" s="2756"/>
      <c r="I10" s="2756"/>
      <c r="J10" s="2757"/>
      <c r="K10" s="1373"/>
      <c r="L10" s="2730" t="s">
        <v>2837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4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6"/>
      <c r="B11" s="2758" t="s">
        <v>2838</v>
      </c>
      <c r="C11" s="923">
        <f>C10/4</f>
        <v>0</v>
      </c>
      <c r="D11" s="923" t="s">
        <v>141</v>
      </c>
      <c r="E11" s="923" t="e">
        <f>ROUND(C11/E7,4)</f>
        <v>#DIV/0!</v>
      </c>
      <c r="F11" s="2759" t="s">
        <v>2839</v>
      </c>
      <c r="G11" s="2760"/>
      <c r="H11" s="2760"/>
      <c r="I11" s="2760"/>
      <c r="J11" s="2761"/>
      <c r="K11" s="1373"/>
      <c r="L11" s="2730" t="s">
        <v>2840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40" t="s">
        <v>2841</v>
      </c>
      <c r="X11" s="1617" t="s">
        <v>2842</v>
      </c>
      <c r="Y11" s="1618">
        <f>$G$3</f>
        <v>1.24</v>
      </c>
      <c r="Z11" s="1618">
        <f t="shared" ref="Z11:AJ11" si="3">$G$3</f>
        <v>1.24</v>
      </c>
      <c r="AA11" s="1618">
        <f t="shared" si="3"/>
        <v>1.24</v>
      </c>
      <c r="AB11" s="1618">
        <f t="shared" si="3"/>
        <v>1.24</v>
      </c>
      <c r="AC11" s="1618">
        <f t="shared" si="3"/>
        <v>1.24</v>
      </c>
      <c r="AD11" s="1618">
        <f t="shared" si="3"/>
        <v>1.24</v>
      </c>
      <c r="AE11" s="1618">
        <f t="shared" si="3"/>
        <v>1.24</v>
      </c>
      <c r="AF11" s="1618">
        <f t="shared" si="3"/>
        <v>1.24</v>
      </c>
      <c r="AG11" s="1618">
        <f t="shared" si="3"/>
        <v>1.24</v>
      </c>
      <c r="AH11" s="1618">
        <f t="shared" si="3"/>
        <v>1.24</v>
      </c>
      <c r="AI11" s="1618">
        <f t="shared" si="3"/>
        <v>1.24</v>
      </c>
      <c r="AJ11" s="1618">
        <f t="shared" si="3"/>
        <v>1.24</v>
      </c>
    </row>
    <row r="12" spans="1:36" ht="25.5" thickBot="1">
      <c r="A12" s="3245" t="s">
        <v>2843</v>
      </c>
      <c r="B12" s="2762" t="s">
        <v>2844</v>
      </c>
      <c r="C12" s="919">
        <f>ROUND(C15*D15*E15*F15*G15*H15*I15*J15,4)</f>
        <v>1</v>
      </c>
      <c r="D12" s="2763" t="s">
        <v>2845</v>
      </c>
      <c r="E12" s="2764"/>
      <c r="F12" s="2764"/>
      <c r="G12" s="2765"/>
      <c r="H12" s="2765"/>
      <c r="I12" s="2765"/>
      <c r="J12" s="2766"/>
      <c r="K12" s="1373"/>
      <c r="L12" s="2767" t="s">
        <v>2846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40"/>
      <c r="X12" s="1619" t="s">
        <v>2847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47"/>
      <c r="B13" s="2768" t="s">
        <v>2848</v>
      </c>
      <c r="C13" s="2769" t="s">
        <v>2849</v>
      </c>
      <c r="D13" s="1811" t="s">
        <v>2850</v>
      </c>
      <c r="E13" s="1811" t="s">
        <v>2851</v>
      </c>
      <c r="F13" s="30" t="s">
        <v>2852</v>
      </c>
      <c r="G13" s="2770" t="s">
        <v>2853</v>
      </c>
      <c r="H13" s="2770" t="s">
        <v>2853</v>
      </c>
      <c r="I13" s="2770" t="s">
        <v>2853</v>
      </c>
      <c r="J13" s="2771" t="s">
        <v>2853</v>
      </c>
      <c r="K13" s="1373"/>
      <c r="L13" s="1373"/>
      <c r="M13" s="1373"/>
      <c r="N13" s="1373"/>
      <c r="O13" s="1373"/>
      <c r="P13" s="1373"/>
      <c r="Q13" s="1373"/>
      <c r="R13" s="1605">
        <v>12</v>
      </c>
      <c r="S13" s="1606"/>
      <c r="T13" s="1605">
        <f t="shared" ca="1" si="0"/>
        <v>0</v>
      </c>
      <c r="U13" s="1606"/>
      <c r="V13" s="1605">
        <f t="shared" ca="1" si="1"/>
        <v>0</v>
      </c>
      <c r="W13" s="3240"/>
      <c r="X13" s="1619"/>
      <c r="Y13" s="1616">
        <f>(-0.163*(Y12^2)-0.59*Y12+7617)*(10^(-4))/Y11</f>
        <v>0.61427419354838708</v>
      </c>
      <c r="Z13" s="1616">
        <f t="shared" ref="Z13:AJ13" si="5">(-0.163*(Z12^2)-0.59*Z12+7617)*(10^(-4))/Z11</f>
        <v>0.61427419354838708</v>
      </c>
      <c r="AA13" s="1616">
        <f t="shared" si="5"/>
        <v>0.61427419354838708</v>
      </c>
      <c r="AB13" s="1616">
        <f t="shared" si="5"/>
        <v>0.61427419354838708</v>
      </c>
      <c r="AC13" s="1616">
        <f t="shared" si="5"/>
        <v>0.61427419354838708</v>
      </c>
      <c r="AD13" s="1616">
        <f t="shared" si="5"/>
        <v>0.61427419354838708</v>
      </c>
      <c r="AE13" s="1616">
        <f t="shared" si="5"/>
        <v>0.61427419354838708</v>
      </c>
      <c r="AF13" s="1616">
        <f t="shared" si="5"/>
        <v>0.61427419354838708</v>
      </c>
      <c r="AG13" s="1616">
        <f t="shared" si="5"/>
        <v>0.61427419354838708</v>
      </c>
      <c r="AH13" s="1616">
        <f t="shared" si="5"/>
        <v>0.61427419354838708</v>
      </c>
      <c r="AI13" s="1616">
        <f t="shared" si="5"/>
        <v>0.61427419354838708</v>
      </c>
      <c r="AJ13" s="1616">
        <f t="shared" si="5"/>
        <v>0.61427419354838708</v>
      </c>
    </row>
    <row r="14" spans="1:36" ht="15">
      <c r="A14" s="3247"/>
      <c r="B14" s="2772"/>
      <c r="C14" s="2773"/>
      <c r="D14" s="2774"/>
      <c r="E14" s="2774"/>
      <c r="F14" s="2775"/>
      <c r="G14" s="2776" t="s">
        <v>2854</v>
      </c>
      <c r="H14" s="2777"/>
      <c r="I14" s="2778"/>
      <c r="J14" s="2779"/>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48"/>
      <c r="B15" s="2780" t="s">
        <v>2855</v>
      </c>
      <c r="C15" s="229">
        <f>IF(C14="有",1.1,1)</f>
        <v>1</v>
      </c>
      <c r="D15" s="229">
        <f>IF(D14="有",1.1,1)</f>
        <v>1</v>
      </c>
      <c r="E15" s="229">
        <f>IF(E14="有",1.1,1)</f>
        <v>1</v>
      </c>
      <c r="F15" s="229">
        <f>IF(F14="500米范围内",1.2,IF(F14="500-1000米",1.1,1))</f>
        <v>1</v>
      </c>
      <c r="G15" s="949">
        <v>1</v>
      </c>
      <c r="H15" s="949">
        <v>1</v>
      </c>
      <c r="I15" s="949">
        <v>1</v>
      </c>
      <c r="J15" s="950">
        <v>1</v>
      </c>
      <c r="K15" s="1373"/>
      <c r="L15" s="2781" t="s">
        <v>2791</v>
      </c>
      <c r="M15" s="920" t="s">
        <v>2856</v>
      </c>
      <c r="N15" s="920" t="s">
        <v>2857</v>
      </c>
      <c r="O15" s="920" t="s">
        <v>2858</v>
      </c>
      <c r="P15" s="2782" t="s">
        <v>2859</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5" t="s">
        <v>2860</v>
      </c>
      <c r="B16" s="2749" t="s">
        <v>2861</v>
      </c>
      <c r="C16" s="1804">
        <f>ROUND(SUM(G17:J17)/C17,0)</f>
        <v>30</v>
      </c>
      <c r="D16" s="2783" t="s">
        <v>2862</v>
      </c>
      <c r="E16" s="2784" t="s">
        <v>3054</v>
      </c>
      <c r="F16" s="2785" t="s">
        <v>3055</v>
      </c>
      <c r="G16" s="2786" t="s">
        <v>3038</v>
      </c>
      <c r="H16" s="2786"/>
      <c r="I16" s="2786"/>
      <c r="J16" s="2787"/>
      <c r="K16" s="1373"/>
      <c r="L16" s="2788" t="s">
        <v>2863</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6"/>
      <c r="B17" s="2789" t="s">
        <v>2864</v>
      </c>
      <c r="C17" s="924">
        <f>SUMPRODUCT((修正!A2:A5=E2)*(修正!B1:M1=G2)*(修正!B2:M5))</f>
        <v>1</v>
      </c>
      <c r="D17" s="2790" t="s">
        <v>2865</v>
      </c>
      <c r="E17" s="923" t="str">
        <f>IF(OR(G2="八级",G2="九级",G2="十级",G2="十一级",G2="十二级"),"五通一平","七通一平")</f>
        <v>五通一平</v>
      </c>
      <c r="F17" s="924" t="s">
        <v>2866</v>
      </c>
      <c r="G17" s="924">
        <f>SUMPRODUCT((七通一平=G16)*(修正!B1:M1=G2)*(修正!B6:M14))</f>
        <v>30</v>
      </c>
      <c r="H17" s="924">
        <f>SUMPRODUCT((七通一平=H16)*(修正!B1:M1=G2)*(修正!B6:M14))</f>
        <v>0</v>
      </c>
      <c r="I17" s="924">
        <f>SUMPRODUCT((七通一平=I16)*(修正!B1:M1=G2)*(修正!B6:M14))</f>
        <v>0</v>
      </c>
      <c r="J17" s="925">
        <f>SUMPRODUCT((七通一平=J16)*(修正!B1:M1=G2)*(修正!B6:M14))</f>
        <v>0</v>
      </c>
      <c r="K17" s="1373"/>
      <c r="L17" s="2791" t="s">
        <v>2867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807</v>
      </c>
      <c r="B18" s="2794" t="s">
        <v>2868</v>
      </c>
      <c r="C18" s="926">
        <f>SUMIF(修正!C18:C39,E3,修正!E18:E39)</f>
        <v>1</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9.25" thickBot="1">
      <c r="A19" s="2793" t="s">
        <v>808</v>
      </c>
      <c r="B19" s="2794" t="s">
        <v>2869</v>
      </c>
      <c r="C19" s="927">
        <f>ROUND(IF(H19="按公示增长率计算",SUMPRODUCT((地价!A3:A22=YEAR(G19)&amp;"-"&amp;ROUNDUP(MONTH(G19)/3,0))*(地价!X2:AB2=E2)*(地价!X3:AB22)),IF(H19="地价指数",M20/M19,(1+I19)^O19)),4)</f>
        <v>1.2309000000000001</v>
      </c>
      <c r="D19" s="2801" t="s">
        <v>2870</v>
      </c>
      <c r="E19" s="928">
        <v>41640</v>
      </c>
      <c r="F19" s="2801" t="s">
        <v>2871</v>
      </c>
      <c r="G19" s="929">
        <f>'数据-取费表'!B2</f>
        <v>43200</v>
      </c>
      <c r="H19" s="2802" t="s">
        <v>3056</v>
      </c>
      <c r="I19" s="930" t="str">
        <f>IF(H19="季度增幅（自定义）",SUMIF(N21:N24,E2,O21:O24),"")</f>
        <v/>
      </c>
      <c r="J19" s="2799"/>
      <c r="K19" s="1380"/>
      <c r="L19" s="2803" t="s">
        <v>2872</v>
      </c>
      <c r="M19" s="1737">
        <f>ROUND(SUMIF(地价!B2:F2,E2,地价!B22:F22),0)</f>
        <v>230</v>
      </c>
      <c r="N19" s="2804" t="s">
        <v>2873</v>
      </c>
      <c r="O19" s="931">
        <f>ROUNDDOWN(DATEDIF(E19,G19,"M")/3,0)</f>
        <v>17</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809</v>
      </c>
      <c r="B20" s="2809" t="s">
        <v>2874</v>
      </c>
      <c r="C20" s="932">
        <f ca="1">ROUND(POWER(1+G20,J20-I20)*(POWER(1+G20,I20)-1)/(POWER(1+G20,J20)-1),4)</f>
        <v>0.94950000000000001</v>
      </c>
      <c r="D20" s="2810" t="s">
        <v>2875</v>
      </c>
      <c r="E20" s="1771">
        <f ca="1">存贷款利率!D4/100</f>
        <v>4.3499999999999997E-2</v>
      </c>
      <c r="F20" s="2810" t="s">
        <v>2867</v>
      </c>
      <c r="G20" s="937">
        <f ca="1">SUMIF(M15:P15,E2,M17:P17)</f>
        <v>4.8000000000000001E-2</v>
      </c>
      <c r="H20" s="2810" t="s">
        <v>2876</v>
      </c>
      <c r="I20" s="938">
        <f>SUMIF('数据-取费表'!C6:C15,E2,'数据-取费表'!F6:F15)/COUNTIF('数据-取费表'!C6:C15,E2)</f>
        <v>41.7</v>
      </c>
      <c r="J20" s="939">
        <f>IF(E2="住宅",70,IF(E2="商业",40,50))</f>
        <v>50</v>
      </c>
      <c r="K20" s="1380"/>
      <c r="L20" s="2811" t="s">
        <v>2877</v>
      </c>
      <c r="M20" s="1738">
        <f>ROUND(SUMPRODUCT((地价!A4:A22=YEAR(G19)&amp;"-"&amp;ROUNDUP(MONTH(G19)/3,0))*(地价!B2:F2=E2)*(地价!B4:F22)),0)</f>
        <v>283</v>
      </c>
      <c r="N20" s="2812" t="s">
        <v>2878</v>
      </c>
      <c r="O20" s="2813" t="s">
        <v>2879</v>
      </c>
      <c r="P20" s="2814" t="s">
        <v>2880</v>
      </c>
      <c r="R20" s="1379"/>
      <c r="S20" s="1379"/>
      <c r="T20" s="1374"/>
      <c r="U20" s="1374"/>
      <c r="V20" s="1374"/>
      <c r="W20" s="1373"/>
      <c r="X20" s="1373"/>
      <c r="Y20" s="1373"/>
      <c r="Z20" s="1380"/>
      <c r="AA20" s="1381"/>
      <c r="AB20" s="1381"/>
      <c r="AC20" s="1381"/>
      <c r="AD20" s="1381"/>
      <c r="AE20" s="1381"/>
      <c r="AF20" s="1381"/>
    </row>
    <row r="21" spans="1:37" s="2742" customFormat="1" ht="15">
      <c r="A21" s="2815" t="s">
        <v>810</v>
      </c>
      <c r="B21" s="2816" t="s">
        <v>3057</v>
      </c>
      <c r="C21" s="940">
        <f>IF(B21="容积率修正",IF(G3&lt;=10,D22,J22),C23)</f>
        <v>0.87419999999999998</v>
      </c>
      <c r="D21" s="2817"/>
      <c r="E21" s="2817"/>
      <c r="F21" s="2817"/>
      <c r="G21" s="2817"/>
      <c r="H21" s="2817"/>
      <c r="I21" s="2817"/>
      <c r="J21" s="2818"/>
      <c r="K21" s="1380"/>
      <c r="N21" s="2819" t="s">
        <v>2881</v>
      </c>
      <c r="O21" s="1564"/>
      <c r="P21" s="1565">
        <f>SUMPRODUCT((地价!A3:A22=YEAR(G19)&amp;"-"&amp;ROUNDUP(MONTH(G19)/3,0))*(地价!AD2:AH2=N21)*(地价!AD3:AH22))</f>
        <v>1.46E-2</v>
      </c>
      <c r="R21" s="1379"/>
      <c r="S21" s="1379"/>
      <c r="T21" s="1374"/>
      <c r="U21" s="1374"/>
      <c r="V21" s="1374"/>
      <c r="W21" s="1373"/>
      <c r="X21" s="1373"/>
      <c r="Y21" s="1373"/>
      <c r="Z21" s="1380"/>
      <c r="AA21" s="1381"/>
      <c r="AB21" s="1381"/>
      <c r="AC21" s="1381"/>
      <c r="AD21" s="1381"/>
      <c r="AE21" s="1381"/>
      <c r="AF21" s="1381"/>
    </row>
    <row r="22" spans="1:37" s="2742" customFormat="1" ht="14.25">
      <c r="A22" s="2668" t="s">
        <v>2882</v>
      </c>
      <c r="B22" s="2820" t="s">
        <v>2883</v>
      </c>
      <c r="C22" s="1813" t="s">
        <v>2884</v>
      </c>
      <c r="D22" s="1813">
        <f>IF(E22=G22,F22,IF(G3&lt;=10,ROUND(F22+(H22-F22)*(G3-E22)/(G22-E22),4),"——"))</f>
        <v>0.87419999999999998</v>
      </c>
      <c r="E22" s="916">
        <f>ROUNDDOWN(G3,1)</f>
        <v>1.2</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0.88890000000000002</v>
      </c>
      <c r="G22" s="916">
        <f>ROUNDUP(G3,1)</f>
        <v>1.3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0.85209999999999997</v>
      </c>
      <c r="I22" s="1813" t="s">
        <v>154</v>
      </c>
      <c r="J22" s="941" t="str">
        <f>IF(G3&gt;10,D113,"——")</f>
        <v>——</v>
      </c>
      <c r="K22" s="1380"/>
      <c r="N22" s="2819" t="s">
        <v>2885</v>
      </c>
      <c r="O22" s="1564"/>
      <c r="P22" s="1565">
        <f>SUMPRODUCT((地价!A3:A22=YEAR(G19)&amp;"-"&amp;ROUNDUP(MONTH(G19)/3,0))*(地价!AD2:AH2=N22)*(地价!AD3:AH22))</f>
        <v>1.46E-2</v>
      </c>
      <c r="R22" s="1379"/>
      <c r="S22" s="1379"/>
      <c r="T22" s="1374"/>
      <c r="U22" s="1374"/>
      <c r="V22" s="1374"/>
      <c r="W22" s="1373"/>
      <c r="X22" s="1373"/>
      <c r="Y22" s="1373"/>
      <c r="Z22" s="1380"/>
      <c r="AA22" s="1381"/>
      <c r="AB22" s="1381"/>
      <c r="AC22" s="1381"/>
      <c r="AD22" s="1381"/>
      <c r="AE22" s="1381"/>
      <c r="AF22" s="1381"/>
    </row>
    <row r="23" spans="1:37" ht="27.75" thickBot="1">
      <c r="A23" s="2668" t="s">
        <v>2886</v>
      </c>
      <c r="B23" s="2821" t="s">
        <v>2887</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2888</v>
      </c>
      <c r="O23" s="1564"/>
      <c r="P23" s="1565">
        <f>SUMPRODUCT((地价!A3:A22=YEAR(G19)&amp;"-"&amp;ROUNDUP(MONTH(G19)/3,0))*(地价!AD2:AH2=N23)*(地价!AD3:AH22))</f>
        <v>2.41E-2</v>
      </c>
      <c r="R23" s="1379"/>
      <c r="S23" s="1379"/>
      <c r="T23" s="1374"/>
      <c r="U23" s="1374"/>
      <c r="V23" s="1374"/>
      <c r="W23" s="1373"/>
      <c r="X23" s="1373"/>
      <c r="Y23" s="1373"/>
      <c r="Z23" s="1380"/>
      <c r="AA23" s="1381"/>
      <c r="AB23" s="1381"/>
      <c r="AC23" s="1381"/>
      <c r="AD23" s="1381"/>
      <c r="AK23" s="2800"/>
    </row>
    <row r="24" spans="1:37" s="2742" customFormat="1" ht="15.75" thickBot="1">
      <c r="A24" s="2808" t="s">
        <v>811</v>
      </c>
      <c r="B24" s="2794" t="s">
        <v>2889</v>
      </c>
      <c r="C24" s="927">
        <f>SUMIF(A45:A88,E2,B45:B88)</f>
        <v>1.0395000000000001</v>
      </c>
      <c r="D24" s="2797"/>
      <c r="E24" s="2827"/>
      <c r="F24" s="2827"/>
      <c r="G24" s="2827"/>
      <c r="H24" s="2827"/>
      <c r="I24" s="2827"/>
      <c r="J24" s="2828"/>
      <c r="K24" s="1380"/>
      <c r="N24" s="2829" t="s">
        <v>2890</v>
      </c>
      <c r="O24" s="1566"/>
      <c r="P24" s="1567">
        <f>SUMPRODUCT((地价!A3:A22=YEAR(G19)&amp;"-"&amp;ROUNDUP(MONTH(G19)/3,0))*(地价!AD2:AH2=N24)*(地价!AD3:AH22))</f>
        <v>1.24E-2</v>
      </c>
      <c r="R24" s="1379"/>
      <c r="S24" s="1379"/>
      <c r="T24" s="1374"/>
      <c r="U24" s="1374"/>
      <c r="V24" s="1374"/>
      <c r="W24" s="1373"/>
      <c r="X24" s="1373"/>
      <c r="Y24" s="1373"/>
      <c r="Z24" s="1380"/>
      <c r="AA24" s="1381"/>
      <c r="AB24" s="1381"/>
      <c r="AC24" s="1381"/>
      <c r="AD24" s="1381"/>
      <c r="AE24" s="1381"/>
      <c r="AF24" s="1381"/>
    </row>
    <row r="25" spans="1:37" ht="15.75" thickBot="1">
      <c r="A25" s="2808" t="s">
        <v>812</v>
      </c>
      <c r="B25" s="2830" t="s">
        <v>2891</v>
      </c>
      <c r="C25" s="933"/>
      <c r="D25" s="2752"/>
      <c r="E25" s="2752"/>
      <c r="F25" s="2831"/>
      <c r="G25" s="2752"/>
      <c r="H25" s="2752"/>
      <c r="I25" s="2752"/>
      <c r="J25" s="2753"/>
      <c r="K25" s="1373"/>
      <c r="N25" s="2832" t="s">
        <v>2892</v>
      </c>
      <c r="O25" s="1568"/>
      <c r="P25" s="1567">
        <f>SUMPRODUCT((地价!A3:A22=YEAR(G19)&amp;"-"&amp;ROUNDUP(MONTH(G19)/3,0))*(地价!AD2:AH2=N25)*(地价!AD3:AH22))</f>
        <v>2.1700000000000001E-2</v>
      </c>
      <c r="R25" s="1379"/>
      <c r="S25" s="1379"/>
      <c r="T25" s="1374"/>
      <c r="U25" s="1374"/>
      <c r="V25" s="1374"/>
      <c r="W25" s="1373"/>
      <c r="X25" s="1373"/>
      <c r="Y25" s="1373"/>
      <c r="Z25" s="1380"/>
      <c r="AA25" s="1381"/>
      <c r="AB25" s="1381"/>
      <c r="AC25" s="1381"/>
      <c r="AD25" s="1381"/>
    </row>
    <row r="26" spans="1:37" ht="15">
      <c r="A26" s="2833"/>
      <c r="B26" s="2820" t="s">
        <v>2893</v>
      </c>
      <c r="C26" s="206">
        <f ca="1">E29+SUM(E33:E39)</f>
        <v>1684</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2894</v>
      </c>
      <c r="C27" s="934" t="e">
        <f ca="1">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2895</v>
      </c>
      <c r="C28" s="2844" t="s">
        <v>2896</v>
      </c>
      <c r="D28" s="2844" t="s">
        <v>2897</v>
      </c>
      <c r="E28" s="2845" t="s">
        <v>2898</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2899</v>
      </c>
      <c r="C29" s="206">
        <f ca="1">ROUND(C5*C18*C19*C20*C21*C24,0)</f>
        <v>1030</v>
      </c>
      <c r="D29" s="2849">
        <f>'数据-汇总表'!F19</f>
        <v>16346.349999999999</v>
      </c>
      <c r="E29" s="945">
        <f ca="1">ROUND(C29*D29/10000,0)</f>
        <v>1684</v>
      </c>
      <c r="F29" s="2850" t="s">
        <v>2900</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2901</v>
      </c>
      <c r="C30" s="229">
        <f ca="1">ROUND(IF(E2="工业",C29*M39,C29*M38),0)</f>
        <v>155</v>
      </c>
      <c r="D30" s="2855"/>
      <c r="E30" s="945">
        <f ca="1">ROUND(C30*D30/10000,0)</f>
        <v>0</v>
      </c>
      <c r="F30" s="2856" t="s">
        <v>2902</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2903</v>
      </c>
      <c r="C31" s="2861" t="s">
        <v>2904</v>
      </c>
      <c r="D31" s="2765"/>
      <c r="E31" s="2861"/>
      <c r="F31" s="2861"/>
      <c r="G31" s="2763" t="s">
        <v>2905</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2896</v>
      </c>
      <c r="D32" s="498" t="s">
        <v>2897</v>
      </c>
      <c r="E32" s="498" t="s">
        <v>2898</v>
      </c>
      <c r="F32" s="388" t="s">
        <v>2906</v>
      </c>
      <c r="G32" s="2864" t="s">
        <v>2896</v>
      </c>
      <c r="H32" s="2864" t="s">
        <v>2897</v>
      </c>
      <c r="I32" s="2864" t="s">
        <v>2898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55" t="s">
        <v>2907</v>
      </c>
      <c r="B33" s="2865" t="s">
        <v>2908</v>
      </c>
      <c r="C33" s="206">
        <f ca="1">ROUND(D5*C19*C20*C24*F33,0)</f>
        <v>0</v>
      </c>
      <c r="D33" s="2849"/>
      <c r="E33" s="200">
        <f ca="1">ROUND(C33*D33/10000,0)</f>
        <v>0</v>
      </c>
      <c r="F33" s="200">
        <f>SUMIF(修正!A45:A56,G2,修正!B45:B56)</f>
        <v>0.6</v>
      </c>
      <c r="G33" s="200">
        <f t="shared" ref="G33:G39" ca="1" si="6">ROUND(IF(E2="工业",C33*$M$39,C33*$M$38),0)</f>
        <v>0</v>
      </c>
      <c r="H33" s="200">
        <f>D33</f>
        <v>0</v>
      </c>
      <c r="I33" s="200">
        <f ca="1">ROUND(G33*H33/10000,0)</f>
        <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6"/>
      <c r="B34" s="2769" t="s">
        <v>2909</v>
      </c>
      <c r="C34" s="206">
        <f ca="1">ROUND(D5*C19*C20*C24*F34,0)</f>
        <v>0</v>
      </c>
      <c r="D34" s="2849"/>
      <c r="E34" s="200">
        <f t="shared" ref="E34:E39" ca="1" si="7">ROUND(C34*D34/10000,0)</f>
        <v>0</v>
      </c>
      <c r="F34" s="200">
        <f>SUMIF(修正!A45:A56,G2,修正!C45:C56)</f>
        <v>0.3</v>
      </c>
      <c r="G34" s="200">
        <f t="shared" ca="1" si="6"/>
        <v>0</v>
      </c>
      <c r="H34" s="200">
        <f t="shared" ref="H34:H39" si="8">D34</f>
        <v>0</v>
      </c>
      <c r="I34" s="200">
        <f t="shared" ref="I34:I39" ca="1" si="9">ROUND(G34*H34/10000,0)</f>
        <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6"/>
      <c r="B35" s="2769" t="s">
        <v>2910</v>
      </c>
      <c r="C35" s="206">
        <f ca="1">ROUND(D5*C19*C20*C24*F35,0)</f>
        <v>0</v>
      </c>
      <c r="D35" s="2849"/>
      <c r="E35" s="200">
        <f t="shared" ca="1" si="7"/>
        <v>0</v>
      </c>
      <c r="F35" s="200">
        <f>SUMIF(修正!A45:A56,G2,修正!D45:D56)</f>
        <v>0.2</v>
      </c>
      <c r="G35" s="200">
        <f t="shared" ca="1" si="6"/>
        <v>0</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5" thickBot="1">
      <c r="A36" s="3257"/>
      <c r="B36" s="2769" t="s">
        <v>2911</v>
      </c>
      <c r="C36" s="206">
        <f ca="1">ROUND(D5*C19*C20*C24*F36,0)</f>
        <v>0</v>
      </c>
      <c r="D36" s="2849"/>
      <c r="E36" s="200">
        <f t="shared" ca="1" si="7"/>
        <v>0</v>
      </c>
      <c r="F36" s="200">
        <f>SUMIF(修正!A45:A56,G2,修正!E45:E56)</f>
        <v>0.2</v>
      </c>
      <c r="G36" s="200">
        <f t="shared" ca="1" si="6"/>
        <v>0</v>
      </c>
      <c r="H36" s="200">
        <f t="shared" si="8"/>
        <v>0</v>
      </c>
      <c r="I36" s="200">
        <f t="shared" ca="1" si="9"/>
        <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2912</v>
      </c>
      <c r="C37" s="200">
        <f ca="1">ROUND(C5*C19*C20*C24*F37,0)</f>
        <v>236</v>
      </c>
      <c r="D37" s="2849"/>
      <c r="E37" s="200">
        <f t="shared" ca="1" si="7"/>
        <v>0</v>
      </c>
      <c r="F37" s="206">
        <f>SUMIF(修正!A45:A56,G2,修正!F45:F56)</f>
        <v>0.2</v>
      </c>
      <c r="G37" s="200">
        <f t="shared" ca="1" si="6"/>
        <v>59</v>
      </c>
      <c r="H37" s="200">
        <f t="shared" si="8"/>
        <v>0</v>
      </c>
      <c r="I37" s="200">
        <f t="shared" ca="1" si="9"/>
        <v>0</v>
      </c>
      <c r="J37" s="2866"/>
      <c r="K37" s="1373"/>
      <c r="L37" s="2868" t="s">
        <v>2913</v>
      </c>
      <c r="M37" s="2869"/>
      <c r="N37" s="1373"/>
      <c r="O37" s="1373"/>
      <c r="P37" s="1373"/>
      <c r="Q37" s="1373"/>
      <c r="R37" s="1373"/>
      <c r="S37" s="1373"/>
      <c r="T37" s="1373"/>
      <c r="U37" s="1373"/>
      <c r="V37" s="1373"/>
      <c r="W37" s="1373"/>
      <c r="X37" s="1373"/>
      <c r="Y37" s="1373"/>
      <c r="Z37" s="1374"/>
    </row>
    <row r="38" spans="1:37">
      <c r="A38" s="2867"/>
      <c r="B38" s="2769" t="s">
        <v>2914</v>
      </c>
      <c r="C38" s="200">
        <f ca="1">ROUND(C5*C19*C20*C24*F38,0)</f>
        <v>236</v>
      </c>
      <c r="D38" s="2849"/>
      <c r="E38" s="200">
        <f t="shared" ca="1" si="7"/>
        <v>0</v>
      </c>
      <c r="F38" s="206">
        <f>SUMIF(修正!A45:A56,G2,修正!G45:G56)</f>
        <v>0.2</v>
      </c>
      <c r="G38" s="200">
        <f t="shared" ca="1" si="6"/>
        <v>59</v>
      </c>
      <c r="H38" s="200">
        <f t="shared" si="8"/>
        <v>0</v>
      </c>
      <c r="I38" s="200">
        <f t="shared" ca="1" si="9"/>
        <v>0</v>
      </c>
      <c r="J38" s="2866"/>
      <c r="K38" s="1373"/>
      <c r="L38" s="1890" t="s">
        <v>2915</v>
      </c>
      <c r="M38" s="2870">
        <v>0.25</v>
      </c>
      <c r="N38" s="1373"/>
      <c r="O38" s="1373"/>
      <c r="P38" s="1373"/>
      <c r="Q38" s="1373"/>
      <c r="R38" s="1373"/>
      <c r="S38" s="1373"/>
      <c r="T38" s="1373"/>
      <c r="U38" s="1373"/>
      <c r="V38" s="1373"/>
      <c r="W38" s="1373"/>
      <c r="X38" s="1373"/>
      <c r="Y38" s="1373"/>
      <c r="Z38" s="1374"/>
    </row>
    <row r="39" spans="1:37" ht="13.5" thickBot="1">
      <c r="A39" s="2853"/>
      <c r="B39" s="2871" t="s">
        <v>2916</v>
      </c>
      <c r="C39" s="229">
        <f ca="1">ROUND(C5*C19*C20*C24*F39,0)</f>
        <v>177</v>
      </c>
      <c r="D39" s="2855"/>
      <c r="E39" s="229">
        <f t="shared" ca="1" si="7"/>
        <v>0</v>
      </c>
      <c r="F39" s="935">
        <f>SUMIF(修正!A45:A56,G2,修正!H45:H56)</f>
        <v>0.15</v>
      </c>
      <c r="G39" s="229" t="e">
        <f t="shared" si="6"/>
        <v>#DIV/0!</v>
      </c>
      <c r="H39" s="229">
        <f t="shared" si="8"/>
        <v>0</v>
      </c>
      <c r="I39" s="229" t="e">
        <f t="shared" si="9"/>
        <v>#DIV/0!</v>
      </c>
      <c r="J39" s="2872"/>
      <c r="K39" s="1373"/>
      <c r="L39" s="2873" t="s">
        <v>2859</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2917</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hidden="1">
      <c r="A46" s="2878" t="s">
        <v>2918</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hidden="1">
      <c r="A47" s="2882" t="s">
        <v>2919</v>
      </c>
      <c r="B47" s="1812" t="s">
        <v>2920</v>
      </c>
      <c r="C47" s="1812" t="s">
        <v>2921</v>
      </c>
      <c r="D47" s="1812" t="s">
        <v>2922</v>
      </c>
      <c r="E47" s="819" t="s">
        <v>2923</v>
      </c>
      <c r="F47" s="2883" t="s">
        <v>2924</v>
      </c>
      <c r="G47" s="1812" t="s">
        <v>753</v>
      </c>
      <c r="H47" s="2884" t="s">
        <v>2925</v>
      </c>
      <c r="I47" s="1812" t="s">
        <v>2926</v>
      </c>
      <c r="J47" s="603" t="s">
        <v>2574</v>
      </c>
      <c r="K47" s="603" t="s">
        <v>2575</v>
      </c>
      <c r="L47" s="603" t="s">
        <v>2576</v>
      </c>
      <c r="M47" s="603" t="s">
        <v>2577</v>
      </c>
      <c r="N47" s="603" t="s">
        <v>2578</v>
      </c>
      <c r="AA47" s="1374"/>
      <c r="AB47" s="1374"/>
      <c r="AC47" s="1374"/>
      <c r="AD47" s="1374"/>
      <c r="AE47" s="1374"/>
      <c r="AF47" s="1374"/>
      <c r="AG47" s="1374"/>
      <c r="AH47" s="1374"/>
      <c r="AI47" s="1374"/>
      <c r="AJ47" s="1374"/>
      <c r="AK47" s="1374"/>
    </row>
    <row r="48" spans="1:37" s="1373" customFormat="1" ht="38.25" hidden="1">
      <c r="A48" s="2882" t="s">
        <v>2927</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2" t="s">
        <v>2928</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2" t="s">
        <v>2929</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2" t="s">
        <v>2930</v>
      </c>
      <c r="B51" s="2887" t="s">
        <v>2931</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2" t="s">
        <v>2932</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2" t="s">
        <v>2933</v>
      </c>
      <c r="B53" s="2888" t="s">
        <v>2934</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9" t="s">
        <v>2935</v>
      </c>
      <c r="B54" s="1728"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9" t="s">
        <v>2936</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90" t="s">
        <v>2937</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8" t="s">
        <v>2938</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2" t="s">
        <v>2919</v>
      </c>
      <c r="B58" s="1812"/>
      <c r="C58" s="1812" t="s">
        <v>2921</v>
      </c>
      <c r="D58" s="1812" t="s">
        <v>2922</v>
      </c>
      <c r="E58" s="819" t="s">
        <v>2923</v>
      </c>
      <c r="F58" s="2883" t="s">
        <v>2939</v>
      </c>
      <c r="G58" s="1812" t="s">
        <v>753</v>
      </c>
      <c r="H58" s="2884" t="s">
        <v>2925</v>
      </c>
      <c r="I58" s="1812" t="s">
        <v>2926</v>
      </c>
      <c r="J58" s="603" t="s">
        <v>2574</v>
      </c>
      <c r="K58" s="603" t="s">
        <v>2575</v>
      </c>
      <c r="L58" s="603" t="s">
        <v>2576</v>
      </c>
      <c r="M58" s="603" t="s">
        <v>2577</v>
      </c>
      <c r="N58" s="603" t="s">
        <v>2578</v>
      </c>
      <c r="AA58" s="1374"/>
      <c r="AB58" s="1374"/>
      <c r="AC58" s="1374"/>
      <c r="AD58" s="1374"/>
      <c r="AE58" s="1374"/>
      <c r="AF58" s="1374"/>
      <c r="AG58" s="1374"/>
      <c r="AH58" s="1374"/>
      <c r="AI58" s="1374"/>
      <c r="AJ58" s="1374"/>
      <c r="AK58" s="1374"/>
    </row>
    <row r="59" spans="1:37" s="1373" customFormat="1" ht="38.25" hidden="1">
      <c r="A59" s="2882" t="s">
        <v>2940</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2" t="s">
        <v>2928</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2" t="s">
        <v>2929</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2" t="s">
        <v>2930</v>
      </c>
      <c r="B62" s="2887" t="s">
        <v>2931</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2" t="s">
        <v>2932</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2" t="s">
        <v>2933</v>
      </c>
      <c r="B64" s="2888" t="s">
        <v>2934</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2" t="s">
        <v>2935</v>
      </c>
      <c r="B65" s="1728"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2" t="s">
        <v>2936</v>
      </c>
      <c r="B66" s="1728"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90" t="s">
        <v>2937</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8" t="s">
        <v>2941</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2" t="s">
        <v>2919</v>
      </c>
      <c r="B69" s="1812"/>
      <c r="C69" s="1812" t="s">
        <v>2921</v>
      </c>
      <c r="D69" s="1812" t="s">
        <v>2922</v>
      </c>
      <c r="E69" s="819" t="s">
        <v>2923</v>
      </c>
      <c r="F69" s="2883" t="s">
        <v>2939</v>
      </c>
      <c r="G69" s="1812" t="s">
        <v>753</v>
      </c>
      <c r="H69" s="2884" t="s">
        <v>2925</v>
      </c>
      <c r="I69" s="1812" t="s">
        <v>2926</v>
      </c>
      <c r="J69" s="603" t="s">
        <v>2574</v>
      </c>
      <c r="K69" s="603" t="s">
        <v>2575</v>
      </c>
      <c r="L69" s="603" t="s">
        <v>2576</v>
      </c>
      <c r="M69" s="603" t="s">
        <v>2577</v>
      </c>
      <c r="N69" s="603" t="s">
        <v>2578</v>
      </c>
      <c r="AA69" s="1374"/>
      <c r="AB69" s="1374"/>
      <c r="AC69" s="1374"/>
      <c r="AD69" s="1374"/>
      <c r="AE69" s="1374"/>
      <c r="AF69" s="1374"/>
      <c r="AG69" s="1374"/>
      <c r="AH69" s="1374"/>
      <c r="AI69" s="1374"/>
      <c r="AJ69" s="1374"/>
      <c r="AK69" s="1374"/>
    </row>
    <row r="70" spans="1:37" s="1373" customFormat="1" ht="51" hidden="1">
      <c r="A70" s="2882" t="s">
        <v>2942</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2" t="s">
        <v>2928</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2" t="s">
        <v>2929</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2" t="s">
        <v>2943</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2" t="s">
        <v>2935</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2" t="s">
        <v>2936</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hidden="1">
      <c r="A76" s="2882" t="s">
        <v>2933</v>
      </c>
      <c r="B76" s="2888" t="s">
        <v>2934</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hidden="1">
      <c r="A77" s="2882" t="s">
        <v>2937</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hidden="1" thickBot="1">
      <c r="A78" s="2890" t="s">
        <v>2944</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2945</v>
      </c>
      <c r="B79" s="2879">
        <f>1+E81</f>
        <v>1.0395000000000001</v>
      </c>
      <c r="C79" s="814"/>
      <c r="D79" s="814"/>
      <c r="E79" s="815"/>
      <c r="F79" s="2881"/>
      <c r="G79" s="6"/>
      <c r="H79" s="6"/>
      <c r="I79" s="6"/>
      <c r="J79" s="7"/>
      <c r="K79" s="7"/>
      <c r="L79" s="7"/>
      <c r="M79" s="7"/>
      <c r="N79" s="7"/>
      <c r="Z79" s="2724"/>
      <c r="AA79" s="2800"/>
      <c r="AG79" s="1375"/>
      <c r="AK79" s="2800"/>
    </row>
    <row r="80" spans="1:37" ht="24.75">
      <c r="A80" s="2882" t="s">
        <v>2919</v>
      </c>
      <c r="B80" s="1812"/>
      <c r="C80" s="1812" t="s">
        <v>2921</v>
      </c>
      <c r="D80" s="1812" t="s">
        <v>2922</v>
      </c>
      <c r="E80" s="819" t="s">
        <v>2923</v>
      </c>
      <c r="F80" s="2883" t="s">
        <v>2939</v>
      </c>
      <c r="G80" s="1812" t="s">
        <v>753</v>
      </c>
      <c r="H80" s="2884" t="s">
        <v>2925</v>
      </c>
      <c r="I80" s="1812" t="s">
        <v>2926</v>
      </c>
      <c r="J80" s="603" t="s">
        <v>2574</v>
      </c>
      <c r="K80" s="603" t="s">
        <v>2575</v>
      </c>
      <c r="L80" s="603" t="s">
        <v>2576</v>
      </c>
      <c r="M80" s="603" t="s">
        <v>2577</v>
      </c>
      <c r="N80" s="603" t="s">
        <v>2578</v>
      </c>
      <c r="Z80" s="2724"/>
      <c r="AA80" s="2800"/>
      <c r="AG80" s="1375"/>
      <c r="AK80" s="2800"/>
    </row>
    <row r="81" spans="1:37" ht="24">
      <c r="A81" s="2882" t="s">
        <v>2946</v>
      </c>
      <c r="B81" s="2886" t="str">
        <f>估价对象房地状况!G15</f>
        <v>较好</v>
      </c>
      <c r="C81" s="2774" t="s">
        <v>3059</v>
      </c>
      <c r="D81" s="1289">
        <f t="shared" ref="D81:D88" si="25">SUMIF($J$80:$N$80,C81,J81:N81)</f>
        <v>1.9E-2</v>
      </c>
      <c r="E81" s="821">
        <f>ROUND(SUM(D81:D88),4)</f>
        <v>3.95E-2</v>
      </c>
      <c r="F81" s="2505">
        <f>IF(E2="工业",SUMIF(L1:L12,G2,N1:N12),"——")</f>
        <v>0.15</v>
      </c>
      <c r="G81" s="1287">
        <v>1.9E-2</v>
      </c>
      <c r="H81" s="1291">
        <f t="shared" ref="H81:H88" si="26">IFERROR(ROUNDDOWN($F$81*I81/2,4),"——")</f>
        <v>1.95E-2</v>
      </c>
      <c r="I81" s="820">
        <v>0.26</v>
      </c>
      <c r="J81" s="1288">
        <f t="shared" ref="J81:J88" si="27">K81+$G81</f>
        <v>3.7999999999999999E-2</v>
      </c>
      <c r="K81" s="1288">
        <f t="shared" ref="K81:K88" si="28">$L81+$G81</f>
        <v>1.9E-2</v>
      </c>
      <c r="L81" s="1288">
        <v>0</v>
      </c>
      <c r="M81" s="1288">
        <f t="shared" ref="M81:N88" si="29">L81-$G81</f>
        <v>-1.9E-2</v>
      </c>
      <c r="N81" s="1288">
        <f t="shared" si="29"/>
        <v>-3.7999999999999999E-2</v>
      </c>
      <c r="Z81" s="2724"/>
      <c r="AA81" s="2800"/>
      <c r="AG81" s="1375"/>
      <c r="AK81" s="2800"/>
    </row>
    <row r="82" spans="1:37" ht="14.25">
      <c r="A82" s="2882" t="s">
        <v>2928</v>
      </c>
      <c r="B82" s="2886" t="str">
        <f>估价对象房地状况!G16</f>
        <v>一般</v>
      </c>
      <c r="C82" s="2774" t="s">
        <v>3064</v>
      </c>
      <c r="D82" s="1289">
        <f t="shared" si="25"/>
        <v>0</v>
      </c>
      <c r="E82" s="826"/>
      <c r="F82" s="2505"/>
      <c r="G82" s="1287">
        <v>2.4500000000000001E-2</v>
      </c>
      <c r="H82" s="1291">
        <f t="shared" si="26"/>
        <v>2.47E-2</v>
      </c>
      <c r="I82" s="820">
        <v>0.33</v>
      </c>
      <c r="J82" s="1288">
        <f t="shared" si="27"/>
        <v>4.9000000000000002E-2</v>
      </c>
      <c r="K82" s="1288">
        <f t="shared" si="28"/>
        <v>2.4500000000000001E-2</v>
      </c>
      <c r="L82" s="1288">
        <v>0</v>
      </c>
      <c r="M82" s="1288">
        <f t="shared" si="29"/>
        <v>-2.4500000000000001E-2</v>
      </c>
      <c r="N82" s="1288">
        <f t="shared" si="29"/>
        <v>-4.9000000000000002E-2</v>
      </c>
      <c r="Z82" s="2724"/>
      <c r="AA82" s="2800"/>
      <c r="AG82" s="1375"/>
      <c r="AK82" s="2800"/>
    </row>
    <row r="83" spans="1:37" ht="24">
      <c r="A83" s="2882" t="s">
        <v>2929</v>
      </c>
      <c r="B83" s="2886" t="str">
        <f>估价对象房地状况!G17</f>
        <v>较一致</v>
      </c>
      <c r="C83" s="2774" t="s">
        <v>3059</v>
      </c>
      <c r="D83" s="1289">
        <f t="shared" si="25"/>
        <v>3.5000000000000001E-3</v>
      </c>
      <c r="E83" s="826"/>
      <c r="F83" s="2505"/>
      <c r="G83" s="1287">
        <v>3.5000000000000001E-3</v>
      </c>
      <c r="H83" s="1291">
        <f t="shared" si="26"/>
        <v>3.7000000000000002E-3</v>
      </c>
      <c r="I83" s="820">
        <v>0.05</v>
      </c>
      <c r="J83" s="1288">
        <f t="shared" si="27"/>
        <v>7.0000000000000001E-3</v>
      </c>
      <c r="K83" s="1288">
        <f t="shared" si="28"/>
        <v>3.5000000000000001E-3</v>
      </c>
      <c r="L83" s="1288">
        <v>0</v>
      </c>
      <c r="M83" s="1288">
        <f t="shared" si="29"/>
        <v>-3.5000000000000001E-3</v>
      </c>
      <c r="N83" s="1288">
        <f t="shared" si="29"/>
        <v>-7.0000000000000001E-3</v>
      </c>
      <c r="Z83" s="2724"/>
      <c r="AA83" s="2800"/>
      <c r="AG83" s="1375"/>
      <c r="AK83" s="2800"/>
    </row>
    <row r="84" spans="1:37" ht="14.25">
      <c r="A84" s="2882" t="s">
        <v>2943</v>
      </c>
      <c r="B84" s="2886" t="str">
        <f>估价对象房地状况!G22</f>
        <v>城市次干道——白马路</v>
      </c>
      <c r="C84" s="2774" t="s">
        <v>3059</v>
      </c>
      <c r="D84" s="1289">
        <f t="shared" si="25"/>
        <v>2.5000000000000001E-3</v>
      </c>
      <c r="E84" s="826"/>
      <c r="F84" s="2505"/>
      <c r="G84" s="1287">
        <v>2.5000000000000001E-3</v>
      </c>
      <c r="H84" s="1291">
        <f t="shared" si="26"/>
        <v>3.0000000000000001E-3</v>
      </c>
      <c r="I84" s="820">
        <v>0.04</v>
      </c>
      <c r="J84" s="1288">
        <f t="shared" si="27"/>
        <v>5.0000000000000001E-3</v>
      </c>
      <c r="K84" s="1288">
        <f t="shared" si="28"/>
        <v>2.5000000000000001E-3</v>
      </c>
      <c r="L84" s="1288">
        <v>0</v>
      </c>
      <c r="M84" s="1288">
        <f t="shared" si="29"/>
        <v>-2.5000000000000001E-3</v>
      </c>
      <c r="N84" s="1288">
        <f t="shared" si="29"/>
        <v>-5.0000000000000001E-3</v>
      </c>
      <c r="Z84" s="2724"/>
      <c r="AA84" s="2800"/>
      <c r="AG84" s="1375"/>
      <c r="AK84" s="2800"/>
    </row>
    <row r="85" spans="1:37" ht="44.25" customHeight="1">
      <c r="A85" s="2882" t="s">
        <v>2935</v>
      </c>
      <c r="B85" s="1728" t="str">
        <f>估价对象房地状况!G19</f>
        <v>一般</v>
      </c>
      <c r="C85" s="2774" t="s">
        <v>3064</v>
      </c>
      <c r="D85" s="1289">
        <f t="shared" si="25"/>
        <v>0</v>
      </c>
      <c r="E85" s="826"/>
      <c r="F85" s="2505"/>
      <c r="G85" s="1287">
        <v>4.0000000000000001E-3</v>
      </c>
      <c r="H85" s="1291">
        <f t="shared" si="26"/>
        <v>4.4999999999999997E-3</v>
      </c>
      <c r="I85" s="820">
        <v>0.06</v>
      </c>
      <c r="J85" s="1288">
        <f t="shared" si="27"/>
        <v>8.0000000000000002E-3</v>
      </c>
      <c r="K85" s="1288">
        <f t="shared" si="28"/>
        <v>4.0000000000000001E-3</v>
      </c>
      <c r="L85" s="1288">
        <v>0</v>
      </c>
      <c r="M85" s="1288">
        <f t="shared" si="29"/>
        <v>-4.0000000000000001E-3</v>
      </c>
      <c r="N85" s="1288">
        <f t="shared" si="29"/>
        <v>-8.0000000000000002E-3</v>
      </c>
      <c r="Z85" s="2724"/>
      <c r="AA85" s="2800"/>
      <c r="AG85" s="1375"/>
      <c r="AK85" s="2800"/>
    </row>
    <row r="86" spans="1:37" ht="24">
      <c r="A86" s="2882" t="s">
        <v>2936</v>
      </c>
      <c r="B86" s="1728" t="str">
        <f>估价对象房地状况!G20</f>
        <v>五通</v>
      </c>
      <c r="C86" s="2774" t="s">
        <v>3059</v>
      </c>
      <c r="D86" s="1289">
        <f t="shared" si="25"/>
        <v>1.0999999999999999E-2</v>
      </c>
      <c r="E86" s="826"/>
      <c r="F86" s="2505"/>
      <c r="G86" s="1287">
        <v>1.0999999999999999E-2</v>
      </c>
      <c r="H86" s="1291">
        <f t="shared" si="26"/>
        <v>1.12E-2</v>
      </c>
      <c r="I86" s="820">
        <v>0.15</v>
      </c>
      <c r="J86" s="1288">
        <f t="shared" si="27"/>
        <v>2.1999999999999999E-2</v>
      </c>
      <c r="K86" s="1288">
        <f t="shared" si="28"/>
        <v>1.0999999999999999E-2</v>
      </c>
      <c r="L86" s="1288">
        <v>0</v>
      </c>
      <c r="M86" s="1288">
        <f t="shared" si="29"/>
        <v>-1.0999999999999999E-2</v>
      </c>
      <c r="N86" s="1288">
        <f t="shared" si="29"/>
        <v>-2.1999999999999999E-2</v>
      </c>
      <c r="Z86" s="2724"/>
      <c r="AA86" s="2800"/>
      <c r="AG86" s="1375"/>
      <c r="AK86" s="2800"/>
    </row>
    <row r="87" spans="1:37" ht="24">
      <c r="A87" s="2882" t="s">
        <v>2933</v>
      </c>
      <c r="B87" s="2947" t="s">
        <v>3058</v>
      </c>
      <c r="C87" s="2774" t="s">
        <v>3059</v>
      </c>
      <c r="D87" s="1289">
        <f t="shared" si="25"/>
        <v>3.5000000000000001E-3</v>
      </c>
      <c r="E87" s="826"/>
      <c r="F87" s="2505"/>
      <c r="G87" s="1287">
        <v>3.5000000000000001E-3</v>
      </c>
      <c r="H87" s="1291">
        <f t="shared" si="26"/>
        <v>3.7000000000000002E-3</v>
      </c>
      <c r="I87" s="820">
        <v>0.05</v>
      </c>
      <c r="J87" s="1288">
        <f t="shared" si="27"/>
        <v>7.0000000000000001E-3</v>
      </c>
      <c r="K87" s="1288">
        <f t="shared" si="28"/>
        <v>3.5000000000000001E-3</v>
      </c>
      <c r="L87" s="1288">
        <v>0</v>
      </c>
      <c r="M87" s="1288">
        <f t="shared" si="29"/>
        <v>-3.5000000000000001E-3</v>
      </c>
      <c r="N87" s="1288">
        <f t="shared" si="29"/>
        <v>-7.0000000000000001E-3</v>
      </c>
      <c r="Z87" s="2724"/>
      <c r="AA87" s="2800"/>
      <c r="AG87" s="1375"/>
      <c r="AK87" s="2800"/>
    </row>
    <row r="88" spans="1:37" ht="57.75" customHeight="1" thickBot="1">
      <c r="A88" s="2890" t="s">
        <v>2947</v>
      </c>
      <c r="B88" s="2895" t="str">
        <f>估价对象房地状况!G18</f>
        <v>一般</v>
      </c>
      <c r="C88" s="2774" t="s">
        <v>3064</v>
      </c>
      <c r="D88" s="1289">
        <f t="shared" si="25"/>
        <v>0</v>
      </c>
      <c r="E88" s="827"/>
      <c r="F88" s="2505"/>
      <c r="G88" s="1287">
        <v>4.0000000000000001E-3</v>
      </c>
      <c r="H88" s="1291">
        <f t="shared" si="26"/>
        <v>4.4999999999999997E-3</v>
      </c>
      <c r="I88" s="824">
        <v>0.06</v>
      </c>
      <c r="J88" s="1288">
        <f t="shared" si="27"/>
        <v>8.0000000000000002E-3</v>
      </c>
      <c r="K88" s="1288">
        <f t="shared" si="28"/>
        <v>4.0000000000000001E-3</v>
      </c>
      <c r="L88" s="1288">
        <v>0</v>
      </c>
      <c r="M88" s="1288">
        <f t="shared" si="29"/>
        <v>-4.0000000000000001E-3</v>
      </c>
      <c r="N88" s="1288">
        <f t="shared" si="29"/>
        <v>-8.0000000000000002E-3</v>
      </c>
      <c r="Z88" s="2724"/>
      <c r="AA88" s="2800"/>
      <c r="AG88" s="1375"/>
      <c r="AK88" s="2800"/>
    </row>
    <row r="90" spans="1:37">
      <c r="A90" s="3249" t="s">
        <v>2948</v>
      </c>
      <c r="B90" s="3249"/>
      <c r="C90" s="3249"/>
      <c r="D90" s="3249"/>
      <c r="E90" s="3249"/>
      <c r="F90" s="3249"/>
      <c r="G90" s="3249"/>
      <c r="H90" s="3249"/>
      <c r="I90" s="3249"/>
      <c r="J90" s="3249"/>
      <c r="K90" s="2896"/>
      <c r="L90" s="2896"/>
      <c r="M90" s="2896"/>
      <c r="N90" s="2896"/>
    </row>
    <row r="91" spans="1:37">
      <c r="A91" s="3251" t="s">
        <v>2949</v>
      </c>
      <c r="B91" s="3251" t="s">
        <v>2950</v>
      </c>
      <c r="C91" s="2850" t="s">
        <v>2951</v>
      </c>
      <c r="D91" s="2851"/>
      <c r="E91" s="2851"/>
      <c r="F91" s="2851"/>
      <c r="G91" s="2851"/>
      <c r="H91" s="2851"/>
      <c r="I91" s="2851"/>
      <c r="J91" s="2897"/>
      <c r="K91" s="2898"/>
      <c r="L91" s="2898"/>
      <c r="M91" s="2898"/>
      <c r="N91" s="2898"/>
    </row>
    <row r="92" spans="1:37">
      <c r="A92" s="3251"/>
      <c r="B92" s="3251"/>
      <c r="C92" s="945" t="s">
        <v>2818</v>
      </c>
      <c r="D92" s="945" t="s">
        <v>2819</v>
      </c>
      <c r="E92" s="945" t="s">
        <v>2820</v>
      </c>
      <c r="F92" s="945" t="s">
        <v>2821</v>
      </c>
      <c r="G92" s="945" t="s">
        <v>2822</v>
      </c>
      <c r="H92" s="945" t="s">
        <v>2823</v>
      </c>
      <c r="I92" s="945" t="s">
        <v>2824</v>
      </c>
      <c r="J92" s="945" t="s">
        <v>2825</v>
      </c>
      <c r="K92" s="945" t="s">
        <v>2826</v>
      </c>
      <c r="L92" s="945" t="s">
        <v>2827</v>
      </c>
      <c r="M92" s="945" t="s">
        <v>2828</v>
      </c>
      <c r="N92" s="945" t="s">
        <v>2829</v>
      </c>
    </row>
    <row r="93" spans="1:37">
      <c r="A93" s="3252" t="s">
        <v>2952</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53"/>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53"/>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53"/>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53"/>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53"/>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53"/>
      <c r="B99" s="2899" t="s">
        <v>2834</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54"/>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52" t="s">
        <v>2953</v>
      </c>
      <c r="B101" s="2903" t="s">
        <v>2954</v>
      </c>
      <c r="C101" s="2904">
        <f>$G$3</f>
        <v>1.24</v>
      </c>
      <c r="D101" s="2904">
        <f t="shared" ref="D101:N101" si="31">$G$3</f>
        <v>1.24</v>
      </c>
      <c r="E101" s="2904">
        <f t="shared" si="31"/>
        <v>1.24</v>
      </c>
      <c r="F101" s="2904">
        <f t="shared" si="31"/>
        <v>1.24</v>
      </c>
      <c r="G101" s="2904">
        <f t="shared" si="31"/>
        <v>1.24</v>
      </c>
      <c r="H101" s="2904">
        <f t="shared" si="31"/>
        <v>1.24</v>
      </c>
      <c r="I101" s="2904">
        <f t="shared" si="31"/>
        <v>1.24</v>
      </c>
      <c r="J101" s="2904">
        <f t="shared" si="31"/>
        <v>1.24</v>
      </c>
      <c r="K101" s="2904">
        <f t="shared" si="31"/>
        <v>1.24</v>
      </c>
      <c r="L101" s="2904">
        <f t="shared" si="31"/>
        <v>1.24</v>
      </c>
      <c r="M101" s="2904">
        <f t="shared" si="31"/>
        <v>1.24</v>
      </c>
      <c r="N101" s="2904">
        <f t="shared" si="31"/>
        <v>1.24</v>
      </c>
    </row>
    <row r="102" spans="1:14">
      <c r="A102" s="3253"/>
      <c r="B102" s="2899">
        <v>1</v>
      </c>
      <c r="C102" s="2900">
        <f>1.9362/C101</f>
        <v>1.5614516129032256</v>
      </c>
      <c r="D102" s="2900">
        <f>1.9362/D101</f>
        <v>1.5614516129032256</v>
      </c>
      <c r="E102" s="2900">
        <f>1.8629/E101</f>
        <v>1.5023387096774194</v>
      </c>
      <c r="F102" s="2900">
        <f>1.8629/F101</f>
        <v>1.5023387096774194</v>
      </c>
      <c r="G102" s="2900">
        <f>1.8629/G101</f>
        <v>1.5023387096774194</v>
      </c>
      <c r="H102" s="2900">
        <f>1.8629/H101</f>
        <v>1.5023387096774194</v>
      </c>
      <c r="I102" s="2900">
        <f>1.8629/I101</f>
        <v>1.5023387096774194</v>
      </c>
      <c r="J102" s="2900">
        <f>1.942/J101</f>
        <v>1.5661290322580645</v>
      </c>
      <c r="K102" s="2900">
        <f>1.942/K101</f>
        <v>1.5661290322580645</v>
      </c>
      <c r="L102" s="2900">
        <f>1.942/L101</f>
        <v>1.5661290322580645</v>
      </c>
      <c r="M102" s="2900">
        <f>1.942/M101</f>
        <v>1.5661290322580645</v>
      </c>
      <c r="N102" s="2900">
        <f>1.942/N101</f>
        <v>1.5661290322580645</v>
      </c>
    </row>
    <row r="103" spans="1:14">
      <c r="A103" s="3253"/>
      <c r="B103" s="2899">
        <v>2</v>
      </c>
      <c r="C103" s="2900">
        <f>1.4198/C101</f>
        <v>1.145</v>
      </c>
      <c r="D103" s="2900">
        <f>1.4198/D101</f>
        <v>1.145</v>
      </c>
      <c r="E103" s="2900">
        <f>1.3372/E101</f>
        <v>1.0783870967741935</v>
      </c>
      <c r="F103" s="2900">
        <f>1.3372/F101</f>
        <v>1.0783870967741935</v>
      </c>
      <c r="G103" s="2900">
        <f>1.3372/G101</f>
        <v>1.0783870967741935</v>
      </c>
      <c r="H103" s="2900">
        <f>1.3372/H101</f>
        <v>1.0783870967741935</v>
      </c>
      <c r="I103" s="2900">
        <f>1.3372/I101</f>
        <v>1.0783870967741935</v>
      </c>
      <c r="J103" s="2900">
        <f>1.2799/J101</f>
        <v>1.0321774193548388</v>
      </c>
      <c r="K103" s="2900">
        <f>1.2799/K101</f>
        <v>1.0321774193548388</v>
      </c>
      <c r="L103" s="2900">
        <f>1.2799/L101</f>
        <v>1.0321774193548388</v>
      </c>
      <c r="M103" s="2900">
        <f>1.2799/M101</f>
        <v>1.0321774193548388</v>
      </c>
      <c r="N103" s="2900">
        <f>1.2799/N101</f>
        <v>1.0321774193548388</v>
      </c>
    </row>
    <row r="104" spans="1:14">
      <c r="A104" s="3253"/>
      <c r="B104" s="2899">
        <v>3</v>
      </c>
      <c r="C104" s="2900">
        <f>1.1594/C101</f>
        <v>0.93499999999999994</v>
      </c>
      <c r="D104" s="2900">
        <f>1.1594/D101</f>
        <v>0.93499999999999994</v>
      </c>
      <c r="E104" s="2900">
        <f>1.0788/E101</f>
        <v>0.87</v>
      </c>
      <c r="F104" s="2900">
        <f>1.0788/F101</f>
        <v>0.87</v>
      </c>
      <c r="G104" s="2900">
        <f>1.0788/G101</f>
        <v>0.87</v>
      </c>
      <c r="H104" s="2900">
        <f>1.0788/H101</f>
        <v>0.87</v>
      </c>
      <c r="I104" s="2900">
        <f>1.0788/I101</f>
        <v>0.87</v>
      </c>
      <c r="J104" s="2900">
        <f>1.0072/J101</f>
        <v>0.81225806451612914</v>
      </c>
      <c r="K104" s="2900">
        <f>1.0072/K101</f>
        <v>0.81225806451612914</v>
      </c>
      <c r="L104" s="2900">
        <f>1.0072/L101</f>
        <v>0.81225806451612914</v>
      </c>
      <c r="M104" s="2900">
        <f>1.0072/M101</f>
        <v>0.81225806451612914</v>
      </c>
      <c r="N104" s="2900">
        <f>1.0072/N101</f>
        <v>0.81225806451612914</v>
      </c>
    </row>
    <row r="105" spans="1:14">
      <c r="A105" s="3253"/>
      <c r="B105" s="2899">
        <v>4</v>
      </c>
      <c r="C105" s="2900">
        <f>0.9622/C101</f>
        <v>0.7759677419354839</v>
      </c>
      <c r="D105" s="2900">
        <f>0.9622/D101</f>
        <v>0.7759677419354839</v>
      </c>
      <c r="E105" s="2900">
        <f>0.8656/E101</f>
        <v>0.69806451612903231</v>
      </c>
      <c r="F105" s="2900">
        <f>0.8656/F101</f>
        <v>0.69806451612903231</v>
      </c>
      <c r="G105" s="2900">
        <f>0.8656/G101</f>
        <v>0.69806451612903231</v>
      </c>
      <c r="H105" s="2900">
        <f>0.8656/H101</f>
        <v>0.69806451612903231</v>
      </c>
      <c r="I105" s="2900">
        <f>0.8656/I101</f>
        <v>0.69806451612903231</v>
      </c>
      <c r="J105" s="2900">
        <f>0.7525/J101</f>
        <v>0.60685483870967738</v>
      </c>
      <c r="K105" s="2900">
        <f>0.7525/K101</f>
        <v>0.60685483870967738</v>
      </c>
      <c r="L105" s="2900">
        <f>0.7525/L101</f>
        <v>0.60685483870967738</v>
      </c>
      <c r="M105" s="2900">
        <f>0.7525/M101</f>
        <v>0.60685483870967738</v>
      </c>
      <c r="N105" s="2900">
        <f>0.7525/N101</f>
        <v>0.60685483870967738</v>
      </c>
    </row>
    <row r="106" spans="1:14">
      <c r="A106" s="3253"/>
      <c r="B106" s="2899">
        <v>5</v>
      </c>
      <c r="C106" s="2900">
        <f>0.8417/C101</f>
        <v>0.6787903225806452</v>
      </c>
      <c r="D106" s="2900">
        <f>0.8417/D101</f>
        <v>0.6787903225806452</v>
      </c>
      <c r="E106" s="2900">
        <f>0.7371/E101</f>
        <v>0.59443548387096767</v>
      </c>
      <c r="F106" s="2900">
        <f>0.7371/F101</f>
        <v>0.59443548387096767</v>
      </c>
      <c r="G106" s="2900">
        <f>0.7371/G101</f>
        <v>0.59443548387096767</v>
      </c>
      <c r="H106" s="2900">
        <f>0.7371/H101</f>
        <v>0.59443548387096767</v>
      </c>
      <c r="I106" s="2900">
        <f>0.7371/I101</f>
        <v>0.59443548387096767</v>
      </c>
      <c r="J106" s="2900">
        <f>0.5659/J101</f>
        <v>0.45637096774193547</v>
      </c>
      <c r="K106" s="2900">
        <f>0.5659/K101</f>
        <v>0.45637096774193547</v>
      </c>
      <c r="L106" s="2900">
        <f>0.5659/L101</f>
        <v>0.45637096774193547</v>
      </c>
      <c r="M106" s="2900">
        <f>0.5659/M101</f>
        <v>0.45637096774193547</v>
      </c>
      <c r="N106" s="2900">
        <f>0.5659/N101</f>
        <v>0.45637096774193547</v>
      </c>
    </row>
    <row r="107" spans="1:14">
      <c r="A107" s="3253"/>
      <c r="B107" s="2899">
        <v>6</v>
      </c>
      <c r="C107" s="2900">
        <f>0.7608/C101</f>
        <v>0.61354838709677417</v>
      </c>
      <c r="D107" s="2900">
        <f>0.7608/D101</f>
        <v>0.61354838709677417</v>
      </c>
      <c r="E107" s="2900">
        <f>0.6482/E101</f>
        <v>0.52274193548387093</v>
      </c>
      <c r="F107" s="2900">
        <f>0.6482/F101</f>
        <v>0.52274193548387093</v>
      </c>
      <c r="G107" s="2900">
        <f>0.6482/G101</f>
        <v>0.52274193548387093</v>
      </c>
      <c r="H107" s="2900">
        <f>0.6482/H101</f>
        <v>0.52274193548387093</v>
      </c>
      <c r="I107" s="2900">
        <f>0.6482/I101</f>
        <v>0.52274193548387093</v>
      </c>
      <c r="J107" s="2900">
        <f>0.4525/J101</f>
        <v>0.36491935483870969</v>
      </c>
      <c r="K107" s="2900">
        <f>0.4525/K101</f>
        <v>0.36491935483870969</v>
      </c>
      <c r="L107" s="2900">
        <f>0.4525/L101</f>
        <v>0.36491935483870969</v>
      </c>
      <c r="M107" s="2900">
        <f>0.4525/M101</f>
        <v>0.36491935483870969</v>
      </c>
      <c r="N107" s="2900">
        <f>0.4525/N101</f>
        <v>0.36491935483870969</v>
      </c>
    </row>
    <row r="108" spans="1:14">
      <c r="A108" s="3253"/>
      <c r="B108" s="3111" t="s">
        <v>2955</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54"/>
      <c r="B109" s="3112"/>
      <c r="C109" s="2902">
        <f>(-0.163*(C108^2)-0.59*C108+7617)*(10^(-4))/C101</f>
        <v>0.61427419354838708</v>
      </c>
      <c r="D109" s="2902">
        <f>(-0.163*(D108^2)-0.59*D108+7617)*(10^(-4))/D101</f>
        <v>0.61427419354838708</v>
      </c>
      <c r="E109" s="2902">
        <f>(-0.161*(E108^2)-7.509*E108+6533)*(10^(-4))/E101</f>
        <v>0.52685483870967742</v>
      </c>
      <c r="F109" s="2902">
        <f>(-0.161*(F108^2)-7.509*F108+6533)*(10^(-4))/F101</f>
        <v>0.52685483870967742</v>
      </c>
      <c r="G109" s="2902">
        <f>(-0.161*(G108^2)-7.509*G108+6533)*(10^(-4))/G101</f>
        <v>0.52685483870967742</v>
      </c>
      <c r="H109" s="2902">
        <f>(-0.161*(H108^2)-7.509*H108+6533)*(10^(-4))/H101</f>
        <v>0.52685483870967742</v>
      </c>
      <c r="I109" s="2902">
        <f>(-0.161*(I108^2)-7.509*I108+6533)*(10^(-4))/I101</f>
        <v>0.52685483870967742</v>
      </c>
      <c r="J109" s="2902">
        <f>(-0.214*(J108^2)-21.991*J108+4665)*(10^(-4))/J101</f>
        <v>0.37620967741935485</v>
      </c>
      <c r="K109" s="2902">
        <f>(-0.214*(K108^2)-21.991*K108+4665)*(10^(-4))/K101</f>
        <v>0.37620967741935485</v>
      </c>
      <c r="L109" s="2902">
        <f>(-0.214*(L108^2)-21.991*L108+4665)*(10^(-4))/L101</f>
        <v>0.37620967741935485</v>
      </c>
      <c r="M109" s="2902">
        <f>(-0.214*(M108^2)-21.991*M108+4665)*(10^(-4))/M101</f>
        <v>0.37620967741935485</v>
      </c>
      <c r="N109" s="2902">
        <f>(-0.214*(N108^2)-21.991*N108+4665)*(10^(-4))/N101</f>
        <v>0.37620967741935485</v>
      </c>
    </row>
    <row r="110" spans="1:14">
      <c r="A110" s="3250" t="s">
        <v>2956</v>
      </c>
      <c r="B110" s="3250"/>
      <c r="C110" s="3250"/>
      <c r="D110" s="3250"/>
      <c r="E110" s="3250"/>
      <c r="F110" s="3250"/>
      <c r="G110" s="3250"/>
      <c r="H110" s="3250"/>
      <c r="I110" s="3250"/>
      <c r="J110" s="3250"/>
      <c r="K110" s="2905"/>
      <c r="L110" s="2905"/>
      <c r="M110" s="2905"/>
      <c r="N110" s="2905"/>
    </row>
    <row r="112" spans="1:14" ht="13.5" thickBot="1"/>
    <row r="113" spans="1:13" ht="25.5" thickBot="1">
      <c r="A113" s="903" t="s">
        <v>2957</v>
      </c>
      <c r="B113" s="1290">
        <f>G3</f>
        <v>1.24</v>
      </c>
      <c r="C113" s="904" t="s">
        <v>2958</v>
      </c>
      <c r="D113" s="905">
        <f>SUMPRODUCT((A115:A118=F113)*(B114:M114=H113)*B115:M118)</f>
        <v>0.54979999999999996</v>
      </c>
      <c r="E113" s="2728" t="s">
        <v>2791</v>
      </c>
      <c r="F113" s="2907" t="str">
        <f>E2</f>
        <v>工业</v>
      </c>
      <c r="G113" s="2728" t="s">
        <v>2792</v>
      </c>
      <c r="H113" s="2907" t="str">
        <f>G2</f>
        <v>八级</v>
      </c>
      <c r="I113" s="2728"/>
      <c r="J113" s="2908"/>
      <c r="K113" s="2908"/>
      <c r="L113" s="2908"/>
      <c r="M113" s="2908"/>
    </row>
    <row r="114" spans="1:13">
      <c r="A114" s="908"/>
      <c r="B114" s="2909" t="s">
        <v>2959</v>
      </c>
      <c r="C114" s="2909" t="s">
        <v>2960</v>
      </c>
      <c r="D114" s="2909" t="s">
        <v>2961</v>
      </c>
      <c r="E114" s="2910" t="s">
        <v>2962</v>
      </c>
      <c r="F114" s="2910" t="s">
        <v>2963</v>
      </c>
      <c r="G114" s="2910" t="s">
        <v>2964</v>
      </c>
      <c r="H114" s="2911" t="s">
        <v>2965</v>
      </c>
      <c r="I114" s="2911" t="s">
        <v>2966</v>
      </c>
      <c r="J114" s="2912" t="s">
        <v>2967</v>
      </c>
      <c r="K114" s="2912" t="s">
        <v>2968</v>
      </c>
      <c r="L114" s="2912" t="s">
        <v>2969</v>
      </c>
      <c r="M114" s="2913" t="s">
        <v>2970</v>
      </c>
    </row>
    <row r="115" spans="1:13">
      <c r="A115" s="909" t="s">
        <v>2856</v>
      </c>
      <c r="B115" s="910">
        <f>ROUND(0.9335-0.0094*B113,4)</f>
        <v>0.92179999999999995</v>
      </c>
      <c r="C115" s="910">
        <f>B115</f>
        <v>0.92179999999999995</v>
      </c>
      <c r="D115" s="910">
        <f>ROUND(0.8331-0.0109*B113,4)</f>
        <v>0.8196</v>
      </c>
      <c r="E115" s="910">
        <f>D115</f>
        <v>0.8196</v>
      </c>
      <c r="F115" s="910">
        <f>E115</f>
        <v>0.8196</v>
      </c>
      <c r="G115" s="910">
        <f>F115</f>
        <v>0.8196</v>
      </c>
      <c r="H115" s="910">
        <f>G115</f>
        <v>0.8196</v>
      </c>
      <c r="I115" s="910">
        <f>ROUND(0.689-0.0155*B113,4)</f>
        <v>0.66979999999999995</v>
      </c>
      <c r="J115" s="910">
        <f t="shared" ref="J115:M118" si="33">I115</f>
        <v>0.66979999999999995</v>
      </c>
      <c r="K115" s="910">
        <f t="shared" si="33"/>
        <v>0.66979999999999995</v>
      </c>
      <c r="L115" s="910">
        <f t="shared" si="33"/>
        <v>0.66979999999999995</v>
      </c>
      <c r="M115" s="911">
        <f t="shared" si="33"/>
        <v>0.66979999999999995</v>
      </c>
    </row>
    <row r="116" spans="1:13">
      <c r="A116" s="909" t="s">
        <v>2857</v>
      </c>
      <c r="B116" s="910">
        <f>ROUND(0.949-0.012*B113,4)</f>
        <v>0.93410000000000004</v>
      </c>
      <c r="C116" s="910">
        <f>B116</f>
        <v>0.93410000000000004</v>
      </c>
      <c r="D116" s="910">
        <f>ROUND(0.8567-0.013*B113,4)</f>
        <v>0.84060000000000001</v>
      </c>
      <c r="E116" s="910">
        <f t="shared" ref="E116:H117" si="34">D116</f>
        <v>0.84060000000000001</v>
      </c>
      <c r="F116" s="910">
        <f t="shared" si="34"/>
        <v>0.84060000000000001</v>
      </c>
      <c r="G116" s="910">
        <f t="shared" si="34"/>
        <v>0.84060000000000001</v>
      </c>
      <c r="H116" s="910">
        <f t="shared" si="34"/>
        <v>0.84060000000000001</v>
      </c>
      <c r="I116" s="910">
        <f>ROUND(0.7694-0.014*B113,4)</f>
        <v>0.752</v>
      </c>
      <c r="J116" s="910">
        <f t="shared" si="33"/>
        <v>0.752</v>
      </c>
      <c r="K116" s="910">
        <f t="shared" si="33"/>
        <v>0.752</v>
      </c>
      <c r="L116" s="910">
        <f t="shared" si="33"/>
        <v>0.752</v>
      </c>
      <c r="M116" s="911">
        <f t="shared" si="33"/>
        <v>0.752</v>
      </c>
    </row>
    <row r="117" spans="1:13">
      <c r="A117" s="909" t="s">
        <v>2858</v>
      </c>
      <c r="B117" s="910">
        <f>ROUND(0.8808-0.006*B113,4)</f>
        <v>0.87339999999999995</v>
      </c>
      <c r="C117" s="910">
        <f>B117</f>
        <v>0.87339999999999995</v>
      </c>
      <c r="D117" s="910">
        <f>ROUND(0.8748-0.008*B113,4)</f>
        <v>0.8649</v>
      </c>
      <c r="E117" s="910">
        <f t="shared" si="34"/>
        <v>0.8649</v>
      </c>
      <c r="F117" s="910">
        <f t="shared" si="34"/>
        <v>0.8649</v>
      </c>
      <c r="G117" s="910">
        <f t="shared" si="34"/>
        <v>0.8649</v>
      </c>
      <c r="H117" s="910">
        <f t="shared" si="34"/>
        <v>0.8649</v>
      </c>
      <c r="I117" s="910">
        <f>ROUND(0.7412-0.0095*B113,4)</f>
        <v>0.72940000000000005</v>
      </c>
      <c r="J117" s="910">
        <f t="shared" si="33"/>
        <v>0.72940000000000005</v>
      </c>
      <c r="K117" s="910">
        <f t="shared" si="33"/>
        <v>0.72940000000000005</v>
      </c>
      <c r="L117" s="910">
        <f t="shared" si="33"/>
        <v>0.72940000000000005</v>
      </c>
      <c r="M117" s="911">
        <f t="shared" si="33"/>
        <v>0.72940000000000005</v>
      </c>
    </row>
    <row r="118" spans="1:13" ht="13.5" thickBot="1">
      <c r="A118" s="714" t="s">
        <v>2859</v>
      </c>
      <c r="B118" s="912">
        <f>ROUND(0.7275-0.01*B113,4)</f>
        <v>0.71509999999999996</v>
      </c>
      <c r="C118" s="912">
        <f>B118</f>
        <v>0.71509999999999996</v>
      </c>
      <c r="D118" s="912">
        <f>ROUND(0.7043-0.012*B113,4)</f>
        <v>0.68940000000000001</v>
      </c>
      <c r="E118" s="912">
        <f>D118</f>
        <v>0.68940000000000001</v>
      </c>
      <c r="F118" s="912">
        <f>E118</f>
        <v>0.68940000000000001</v>
      </c>
      <c r="G118" s="912">
        <f>ROUND(0.6299-0.0122*B113,4)</f>
        <v>0.61480000000000001</v>
      </c>
      <c r="H118" s="912">
        <f>G118</f>
        <v>0.61480000000000001</v>
      </c>
      <c r="I118" s="912">
        <f>ROUND(0.5667-0.0136*B113,4)</f>
        <v>0.54979999999999996</v>
      </c>
      <c r="J118" s="912">
        <f t="shared" si="33"/>
        <v>0.54979999999999996</v>
      </c>
      <c r="K118" s="912">
        <f t="shared" si="33"/>
        <v>0.54979999999999996</v>
      </c>
      <c r="L118" s="912">
        <f t="shared" si="33"/>
        <v>0.54979999999999996</v>
      </c>
      <c r="M118" s="913">
        <f t="shared" si="33"/>
        <v>0.54979999999999996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545</v>
      </c>
      <c r="B1" s="831" t="s">
        <v>156</v>
      </c>
      <c r="C1" s="831" t="s">
        <v>157</v>
      </c>
      <c r="D1" s="831" t="s">
        <v>158</v>
      </c>
      <c r="E1" s="831" t="s">
        <v>159</v>
      </c>
      <c r="F1" s="831" t="s">
        <v>160</v>
      </c>
      <c r="G1" s="831" t="s">
        <v>161</v>
      </c>
      <c r="H1" s="831" t="s">
        <v>162</v>
      </c>
      <c r="I1" s="831" t="s">
        <v>163</v>
      </c>
      <c r="J1" s="831" t="s">
        <v>164</v>
      </c>
      <c r="K1" s="831" t="s">
        <v>165</v>
      </c>
      <c r="L1" s="831" t="s">
        <v>166</v>
      </c>
      <c r="M1" s="832" t="s">
        <v>167</v>
      </c>
    </row>
    <row r="2" spans="1:13" ht="19.5" customHeight="1">
      <c r="A2" s="857" t="s">
        <v>182</v>
      </c>
      <c r="B2" s="858">
        <v>3.5</v>
      </c>
      <c r="C2" s="858">
        <v>3.5</v>
      </c>
      <c r="D2" s="859">
        <v>2.5</v>
      </c>
      <c r="E2" s="859">
        <v>2.5</v>
      </c>
      <c r="F2" s="859">
        <v>2.5</v>
      </c>
      <c r="G2" s="859">
        <v>2.5</v>
      </c>
      <c r="H2" s="859">
        <v>2.5</v>
      </c>
      <c r="I2" s="858">
        <v>2</v>
      </c>
      <c r="J2" s="858">
        <v>2</v>
      </c>
      <c r="K2" s="858">
        <v>2</v>
      </c>
      <c r="L2" s="858">
        <v>2</v>
      </c>
      <c r="M2" s="860">
        <v>2</v>
      </c>
    </row>
    <row r="3" spans="1:13" ht="19.5" customHeight="1">
      <c r="A3" s="861" t="s">
        <v>183</v>
      </c>
      <c r="B3" s="862">
        <v>3.5</v>
      </c>
      <c r="C3" s="862">
        <v>3.5</v>
      </c>
      <c r="D3" s="863">
        <v>2.5</v>
      </c>
      <c r="E3" s="863">
        <v>2.5</v>
      </c>
      <c r="F3" s="863">
        <v>2.5</v>
      </c>
      <c r="G3" s="863">
        <v>2.5</v>
      </c>
      <c r="H3" s="863">
        <v>2.5</v>
      </c>
      <c r="I3" s="862">
        <v>2</v>
      </c>
      <c r="J3" s="862">
        <v>2</v>
      </c>
      <c r="K3" s="862">
        <v>2</v>
      </c>
      <c r="L3" s="862">
        <v>2</v>
      </c>
      <c r="M3" s="864">
        <v>2</v>
      </c>
    </row>
    <row r="4" spans="1:13" ht="19.5" customHeight="1">
      <c r="A4" s="861" t="s">
        <v>751</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185</v>
      </c>
      <c r="B5" s="866">
        <v>1.5</v>
      </c>
      <c r="C5" s="866">
        <v>1.5</v>
      </c>
      <c r="D5" s="866">
        <v>1.5</v>
      </c>
      <c r="E5" s="866">
        <v>1.5</v>
      </c>
      <c r="F5" s="866">
        <v>1.5</v>
      </c>
      <c r="G5" s="867">
        <v>1.2</v>
      </c>
      <c r="H5" s="867">
        <v>1.2</v>
      </c>
      <c r="I5" s="867">
        <v>1</v>
      </c>
      <c r="J5" s="867">
        <v>1</v>
      </c>
      <c r="K5" s="867">
        <v>1</v>
      </c>
      <c r="L5" s="867">
        <v>1</v>
      </c>
      <c r="M5" s="868">
        <v>1</v>
      </c>
    </row>
    <row r="6" spans="1:13" ht="19.5" customHeight="1">
      <c r="A6" s="869" t="s">
        <v>546</v>
      </c>
      <c r="B6" s="870">
        <v>80</v>
      </c>
      <c r="C6" s="870">
        <v>80</v>
      </c>
      <c r="D6" s="870">
        <v>65</v>
      </c>
      <c r="E6" s="870">
        <v>65</v>
      </c>
      <c r="F6" s="870">
        <v>65</v>
      </c>
      <c r="G6" s="870">
        <v>65</v>
      </c>
      <c r="H6" s="870">
        <v>65</v>
      </c>
      <c r="I6" s="870">
        <v>50</v>
      </c>
      <c r="J6" s="870">
        <v>50</v>
      </c>
      <c r="K6" s="870">
        <v>50</v>
      </c>
      <c r="L6" s="870">
        <v>50</v>
      </c>
      <c r="M6" s="871">
        <v>50</v>
      </c>
    </row>
    <row r="7" spans="1:13" ht="19.5" customHeight="1">
      <c r="A7" s="817" t="s">
        <v>547</v>
      </c>
      <c r="B7" s="818">
        <v>70</v>
      </c>
      <c r="C7" s="818">
        <v>70</v>
      </c>
      <c r="D7" s="818">
        <v>55</v>
      </c>
      <c r="E7" s="818">
        <v>55</v>
      </c>
      <c r="F7" s="818">
        <v>55</v>
      </c>
      <c r="G7" s="818">
        <v>55</v>
      </c>
      <c r="H7" s="818">
        <v>55</v>
      </c>
      <c r="I7" s="818">
        <v>40</v>
      </c>
      <c r="J7" s="818">
        <v>40</v>
      </c>
      <c r="K7" s="818">
        <v>40</v>
      </c>
      <c r="L7" s="818">
        <v>40</v>
      </c>
      <c r="M7" s="872">
        <v>40</v>
      </c>
    </row>
    <row r="8" spans="1:13" ht="19.5" customHeight="1">
      <c r="A8" s="817" t="s">
        <v>548</v>
      </c>
      <c r="B8" s="818">
        <v>20</v>
      </c>
      <c r="C8" s="818">
        <v>20</v>
      </c>
      <c r="D8" s="818">
        <v>15</v>
      </c>
      <c r="E8" s="818">
        <v>15</v>
      </c>
      <c r="F8" s="818">
        <v>15</v>
      </c>
      <c r="G8" s="818">
        <v>15</v>
      </c>
      <c r="H8" s="818">
        <v>15</v>
      </c>
      <c r="I8" s="818">
        <v>10</v>
      </c>
      <c r="J8" s="818">
        <v>10</v>
      </c>
      <c r="K8" s="818">
        <v>10</v>
      </c>
      <c r="L8" s="818">
        <v>10</v>
      </c>
      <c r="M8" s="872">
        <v>10</v>
      </c>
    </row>
    <row r="9" spans="1:13" ht="19.5" customHeight="1">
      <c r="A9" s="817" t="s">
        <v>549</v>
      </c>
      <c r="B9" s="818">
        <v>30</v>
      </c>
      <c r="C9" s="818">
        <v>30</v>
      </c>
      <c r="D9" s="818">
        <v>25</v>
      </c>
      <c r="E9" s="818">
        <v>25</v>
      </c>
      <c r="F9" s="818">
        <v>25</v>
      </c>
      <c r="G9" s="818">
        <v>25</v>
      </c>
      <c r="H9" s="818">
        <v>25</v>
      </c>
      <c r="I9" s="818">
        <v>20</v>
      </c>
      <c r="J9" s="818">
        <v>20</v>
      </c>
      <c r="K9" s="818">
        <v>20</v>
      </c>
      <c r="L9" s="818">
        <v>20</v>
      </c>
      <c r="M9" s="872">
        <v>20</v>
      </c>
    </row>
    <row r="10" spans="1:13" ht="19.5" customHeight="1">
      <c r="A10" s="817" t="s">
        <v>550</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551</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552</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553</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554</v>
      </c>
      <c r="B14" s="875">
        <v>0</v>
      </c>
      <c r="C14" s="875">
        <v>0</v>
      </c>
      <c r="D14" s="875">
        <v>0</v>
      </c>
      <c r="E14" s="875">
        <v>0</v>
      </c>
      <c r="F14" s="875">
        <v>0</v>
      </c>
      <c r="G14" s="875">
        <v>0</v>
      </c>
      <c r="H14" s="875">
        <v>0</v>
      </c>
      <c r="I14" s="875">
        <v>0</v>
      </c>
      <c r="J14" s="875">
        <v>0</v>
      </c>
      <c r="K14" s="875">
        <v>0</v>
      </c>
      <c r="L14" s="875">
        <v>0</v>
      </c>
      <c r="M14" s="875">
        <v>0</v>
      </c>
    </row>
    <row r="16" spans="1:13" ht="19.5" customHeight="1">
      <c r="A16" s="876" t="s">
        <v>555</v>
      </c>
      <c r="B16" s="876"/>
      <c r="C16" s="877"/>
      <c r="D16" s="877"/>
      <c r="E16" s="876"/>
      <c r="F16" s="877"/>
      <c r="G16" s="877"/>
    </row>
    <row r="17" spans="1:9" ht="19.5" customHeight="1">
      <c r="A17" s="818" t="s">
        <v>556</v>
      </c>
      <c r="B17" s="879" t="s">
        <v>557</v>
      </c>
      <c r="C17" s="936" t="s">
        <v>757</v>
      </c>
      <c r="D17" s="880"/>
      <c r="E17" s="818" t="s">
        <v>558</v>
      </c>
      <c r="F17" s="881"/>
      <c r="G17" s="881"/>
    </row>
    <row r="18" spans="1:9" s="887" customFormat="1" ht="19.5" customHeight="1">
      <c r="A18" s="3258" t="s">
        <v>182</v>
      </c>
      <c r="B18" s="882" t="s">
        <v>559</v>
      </c>
      <c r="C18" s="883" t="s">
        <v>560</v>
      </c>
      <c r="D18" s="884"/>
      <c r="E18" s="882">
        <v>1</v>
      </c>
      <c r="F18" s="885" t="s">
        <v>561</v>
      </c>
      <c r="G18" s="886"/>
      <c r="H18" s="878"/>
      <c r="I18" s="878"/>
    </row>
    <row r="19" spans="1:9" s="887" customFormat="1" ht="19.5" customHeight="1">
      <c r="A19" s="3258"/>
      <c r="B19" s="3258" t="s">
        <v>562</v>
      </c>
      <c r="C19" s="883" t="s">
        <v>563</v>
      </c>
      <c r="D19" s="884"/>
      <c r="E19" s="882">
        <v>0.9</v>
      </c>
      <c r="F19" s="885" t="s">
        <v>564</v>
      </c>
      <c r="G19" s="886"/>
      <c r="H19" s="878"/>
      <c r="I19" s="878"/>
    </row>
    <row r="20" spans="1:9" s="887" customFormat="1" ht="19.5" customHeight="1">
      <c r="A20" s="3258"/>
      <c r="B20" s="3258"/>
      <c r="C20" s="883" t="s">
        <v>565</v>
      </c>
      <c r="D20" s="884"/>
      <c r="E20" s="882">
        <v>1.1000000000000001</v>
      </c>
      <c r="F20" s="885" t="s">
        <v>566</v>
      </c>
      <c r="G20" s="886"/>
      <c r="H20" s="878"/>
      <c r="I20" s="878"/>
    </row>
    <row r="21" spans="1:9" s="887" customFormat="1" ht="19.5" customHeight="1">
      <c r="A21" s="3258"/>
      <c r="B21" s="3258"/>
      <c r="C21" s="883" t="s">
        <v>567</v>
      </c>
      <c r="D21" s="884"/>
      <c r="E21" s="882">
        <v>0.8</v>
      </c>
      <c r="F21" s="885" t="s">
        <v>568</v>
      </c>
      <c r="G21" s="886"/>
      <c r="H21" s="878"/>
      <c r="I21" s="878"/>
    </row>
    <row r="22" spans="1:9" s="887" customFormat="1" ht="19.5" customHeight="1">
      <c r="A22" s="3258"/>
      <c r="B22" s="3258"/>
      <c r="C22" s="883" t="s">
        <v>569</v>
      </c>
      <c r="D22" s="884"/>
      <c r="E22" s="882">
        <v>0.5</v>
      </c>
      <c r="F22" s="885"/>
      <c r="G22" s="886"/>
      <c r="H22" s="878"/>
      <c r="I22" s="878"/>
    </row>
    <row r="23" spans="1:9" s="887" customFormat="1" ht="19.5" customHeight="1">
      <c r="A23" s="3258" t="s">
        <v>183</v>
      </c>
      <c r="B23" s="882" t="s">
        <v>559</v>
      </c>
      <c r="C23" s="883" t="s">
        <v>570</v>
      </c>
      <c r="D23" s="884"/>
      <c r="E23" s="882">
        <v>1</v>
      </c>
      <c r="F23" s="885" t="s">
        <v>571</v>
      </c>
      <c r="G23" s="886"/>
      <c r="H23" s="878"/>
      <c r="I23" s="878"/>
    </row>
    <row r="24" spans="1:9" s="887" customFormat="1" ht="19.5" customHeight="1">
      <c r="A24" s="3258"/>
      <c r="B24" s="3258" t="s">
        <v>562</v>
      </c>
      <c r="C24" s="883" t="s">
        <v>572</v>
      </c>
      <c r="D24" s="884"/>
      <c r="E24" s="882">
        <v>0.5</v>
      </c>
      <c r="F24" s="885"/>
      <c r="G24" s="886"/>
      <c r="H24" s="878"/>
      <c r="I24" s="878"/>
    </row>
    <row r="25" spans="1:9" s="887" customFormat="1" ht="19.5" customHeight="1">
      <c r="A25" s="3258"/>
      <c r="B25" s="3258"/>
      <c r="C25" s="883" t="s">
        <v>573</v>
      </c>
      <c r="D25" s="884"/>
      <c r="E25" s="882">
        <v>1.1000000000000001</v>
      </c>
      <c r="F25" s="885"/>
      <c r="G25" s="886"/>
      <c r="H25" s="878"/>
      <c r="I25" s="878"/>
    </row>
    <row r="26" spans="1:9" s="887" customFormat="1" ht="19.5" customHeight="1">
      <c r="A26" s="3258"/>
      <c r="B26" s="3258"/>
      <c r="C26" s="883" t="s">
        <v>574</v>
      </c>
      <c r="D26" s="884"/>
      <c r="E26" s="882">
        <v>1.1000000000000001</v>
      </c>
      <c r="F26" s="885"/>
      <c r="G26" s="886"/>
      <c r="H26" s="878"/>
      <c r="I26" s="878"/>
    </row>
    <row r="27" spans="1:9" s="887" customFormat="1" ht="19.5" customHeight="1">
      <c r="A27" s="3258"/>
      <c r="B27" s="3258"/>
      <c r="C27" s="883" t="s">
        <v>575</v>
      </c>
      <c r="D27" s="884"/>
      <c r="E27" s="882">
        <v>0.9</v>
      </c>
      <c r="F27" s="885" t="s">
        <v>576</v>
      </c>
      <c r="G27" s="886"/>
      <c r="H27" s="878"/>
      <c r="I27" s="878"/>
    </row>
    <row r="28" spans="1:9" s="887" customFormat="1" ht="19.5" customHeight="1">
      <c r="A28" s="3258"/>
      <c r="B28" s="3258"/>
      <c r="C28" s="883" t="s">
        <v>577</v>
      </c>
      <c r="D28" s="884"/>
      <c r="E28" s="882">
        <v>0.9</v>
      </c>
      <c r="F28" s="885" t="s">
        <v>578</v>
      </c>
      <c r="G28" s="886"/>
      <c r="H28" s="878"/>
      <c r="I28" s="878"/>
    </row>
    <row r="29" spans="1:9" s="887" customFormat="1" ht="19.5" customHeight="1">
      <c r="A29" s="3258"/>
      <c r="B29" s="3258"/>
      <c r="C29" s="883" t="s">
        <v>579</v>
      </c>
      <c r="D29" s="884"/>
      <c r="E29" s="882">
        <v>0.9</v>
      </c>
      <c r="F29" s="885" t="s">
        <v>580</v>
      </c>
      <c r="G29" s="886"/>
      <c r="H29" s="878"/>
      <c r="I29" s="878"/>
    </row>
    <row r="30" spans="1:9" s="887" customFormat="1" ht="19.5" customHeight="1">
      <c r="A30" s="3258"/>
      <c r="B30" s="3258"/>
      <c r="C30" s="883" t="s">
        <v>581</v>
      </c>
      <c r="D30" s="884"/>
      <c r="E30" s="882">
        <v>0.9</v>
      </c>
      <c r="F30" s="885" t="s">
        <v>582</v>
      </c>
      <c r="G30" s="886"/>
      <c r="H30" s="878"/>
      <c r="I30" s="878"/>
    </row>
    <row r="31" spans="1:9" s="887" customFormat="1" ht="19.5" customHeight="1">
      <c r="A31" s="3258"/>
      <c r="B31" s="3258"/>
      <c r="C31" s="883" t="s">
        <v>583</v>
      </c>
      <c r="D31" s="884"/>
      <c r="E31" s="882">
        <v>0.8</v>
      </c>
      <c r="F31" s="885" t="s">
        <v>584</v>
      </c>
      <c r="G31" s="886"/>
      <c r="H31" s="878"/>
      <c r="I31" s="878"/>
    </row>
    <row r="32" spans="1:9" s="887" customFormat="1" ht="19.5" customHeight="1">
      <c r="A32" s="3258"/>
      <c r="B32" s="3258"/>
      <c r="C32" s="883" t="s">
        <v>585</v>
      </c>
      <c r="D32" s="884"/>
      <c r="E32" s="882">
        <v>0.8</v>
      </c>
      <c r="F32" s="885" t="s">
        <v>586</v>
      </c>
      <c r="G32" s="886"/>
      <c r="H32" s="878"/>
      <c r="I32" s="878"/>
    </row>
    <row r="33" spans="1:9" s="887" customFormat="1" ht="19.5" customHeight="1">
      <c r="A33" s="3258" t="s">
        <v>184</v>
      </c>
      <c r="B33" s="882" t="s">
        <v>559</v>
      </c>
      <c r="C33" s="883" t="s">
        <v>587</v>
      </c>
      <c r="D33" s="884"/>
      <c r="E33" s="882">
        <v>1</v>
      </c>
      <c r="F33" s="885" t="s">
        <v>588</v>
      </c>
      <c r="G33" s="886"/>
      <c r="H33" s="878"/>
      <c r="I33" s="878"/>
    </row>
    <row r="34" spans="1:9" s="887" customFormat="1" ht="19.5" customHeight="1">
      <c r="A34" s="3258"/>
      <c r="B34" s="882" t="s">
        <v>562</v>
      </c>
      <c r="C34" s="883" t="s">
        <v>589</v>
      </c>
      <c r="D34" s="884"/>
      <c r="E34" s="882">
        <v>1.5</v>
      </c>
      <c r="F34" s="885" t="s">
        <v>590</v>
      </c>
      <c r="G34" s="886"/>
      <c r="H34" s="878"/>
      <c r="I34" s="878"/>
    </row>
    <row r="35" spans="1:9" s="887" customFormat="1" ht="19.5" customHeight="1">
      <c r="A35" s="3258" t="s">
        <v>185</v>
      </c>
      <c r="B35" s="882" t="s">
        <v>559</v>
      </c>
      <c r="C35" s="883" t="s">
        <v>591</v>
      </c>
      <c r="D35" s="884"/>
      <c r="E35" s="882">
        <v>1</v>
      </c>
      <c r="F35" s="885" t="s">
        <v>592</v>
      </c>
      <c r="G35" s="886"/>
      <c r="H35" s="878"/>
      <c r="I35" s="878"/>
    </row>
    <row r="36" spans="1:9" s="887" customFormat="1" ht="19.5" customHeight="1">
      <c r="A36" s="3258"/>
      <c r="B36" s="3258" t="s">
        <v>562</v>
      </c>
      <c r="C36" s="883" t="s">
        <v>593</v>
      </c>
      <c r="D36" s="884"/>
      <c r="E36" s="882">
        <v>1</v>
      </c>
      <c r="F36" s="885" t="s">
        <v>594</v>
      </c>
      <c r="G36" s="886"/>
      <c r="H36" s="878"/>
      <c r="I36" s="878"/>
    </row>
    <row r="37" spans="1:9" s="887" customFormat="1" ht="19.5" customHeight="1">
      <c r="A37" s="3258"/>
      <c r="B37" s="3258"/>
      <c r="C37" s="883" t="s">
        <v>595</v>
      </c>
      <c r="D37" s="884"/>
      <c r="E37" s="882">
        <v>1.5</v>
      </c>
      <c r="F37" s="885" t="s">
        <v>596</v>
      </c>
      <c r="G37" s="886"/>
      <c r="H37" s="878"/>
      <c r="I37" s="878"/>
    </row>
    <row r="38" spans="1:9" s="887" customFormat="1" ht="19.5" customHeight="1">
      <c r="A38" s="3258"/>
      <c r="B38" s="3258"/>
      <c r="C38" s="883" t="s">
        <v>597</v>
      </c>
      <c r="D38" s="884"/>
      <c r="E38" s="882">
        <v>1</v>
      </c>
      <c r="F38" s="885" t="s">
        <v>598</v>
      </c>
      <c r="G38" s="886"/>
      <c r="H38" s="878"/>
      <c r="I38" s="878"/>
    </row>
    <row r="39" spans="1:9" s="887" customFormat="1" ht="19.5" customHeight="1">
      <c r="A39" s="3258"/>
      <c r="B39" s="3258"/>
      <c r="C39" s="883" t="s">
        <v>599</v>
      </c>
      <c r="D39" s="884"/>
      <c r="E39" s="882">
        <v>1</v>
      </c>
      <c r="F39" s="885" t="s">
        <v>600</v>
      </c>
      <c r="G39" s="886"/>
      <c r="H39" s="878"/>
      <c r="I39" s="878"/>
    </row>
    <row r="40" spans="1:9" s="887" customFormat="1" ht="19.5" customHeight="1">
      <c r="A40" s="888" t="s">
        <v>601</v>
      </c>
      <c r="B40" s="888"/>
      <c r="C40" s="888"/>
      <c r="D40" s="888"/>
      <c r="E40" s="888"/>
      <c r="F40" s="889"/>
      <c r="G40" s="889"/>
      <c r="H40" s="878"/>
      <c r="I40" s="878"/>
    </row>
    <row r="42" spans="1:9" ht="19.5" customHeight="1">
      <c r="A42" s="890"/>
      <c r="B42" s="818" t="s">
        <v>602</v>
      </c>
      <c r="C42" s="818" t="s">
        <v>602</v>
      </c>
      <c r="D42" s="818" t="s">
        <v>602</v>
      </c>
      <c r="E42" s="823" t="s">
        <v>602</v>
      </c>
      <c r="F42" s="823" t="s">
        <v>602</v>
      </c>
      <c r="G42" s="823" t="s">
        <v>603</v>
      </c>
      <c r="H42" s="823" t="s">
        <v>602</v>
      </c>
    </row>
    <row r="43" spans="1:9" ht="19.5" customHeight="1">
      <c r="A43" s="891"/>
      <c r="B43" s="823" t="s">
        <v>182</v>
      </c>
      <c r="C43" s="823" t="s">
        <v>182</v>
      </c>
      <c r="D43" s="823" t="s">
        <v>182</v>
      </c>
      <c r="E43" s="823" t="s">
        <v>182</v>
      </c>
      <c r="F43" s="818" t="s">
        <v>183</v>
      </c>
      <c r="G43" s="818" t="s">
        <v>185</v>
      </c>
      <c r="H43" s="818" t="s">
        <v>604</v>
      </c>
    </row>
    <row r="44" spans="1:9" ht="19.5" customHeight="1">
      <c r="A44" s="892"/>
      <c r="B44" s="818">
        <v>1</v>
      </c>
      <c r="C44" s="818">
        <v>2</v>
      </c>
      <c r="D44" s="818">
        <v>3</v>
      </c>
      <c r="E44" s="823">
        <v>4</v>
      </c>
      <c r="F44" s="880" t="s">
        <v>605</v>
      </c>
      <c r="G44" s="880" t="s">
        <v>605</v>
      </c>
      <c r="H44" s="880" t="s">
        <v>605</v>
      </c>
    </row>
    <row r="45" spans="1:9" ht="19.5" customHeight="1">
      <c r="A45" s="893" t="s">
        <v>156</v>
      </c>
      <c r="B45" s="818">
        <v>0.8</v>
      </c>
      <c r="C45" s="818">
        <v>0.5</v>
      </c>
      <c r="D45" s="818">
        <v>0.36</v>
      </c>
      <c r="E45" s="818">
        <v>0.3</v>
      </c>
      <c r="F45" s="880">
        <v>0.3</v>
      </c>
      <c r="G45" s="818">
        <v>0.3</v>
      </c>
      <c r="H45" s="818">
        <v>0.25</v>
      </c>
    </row>
    <row r="46" spans="1:9" ht="19.5" customHeight="1">
      <c r="A46" s="893" t="s">
        <v>157</v>
      </c>
      <c r="B46" s="818">
        <v>0.8</v>
      </c>
      <c r="C46" s="818">
        <v>0.5</v>
      </c>
      <c r="D46" s="818">
        <v>0.36</v>
      </c>
      <c r="E46" s="818">
        <v>0.3</v>
      </c>
      <c r="F46" s="818">
        <v>0.3</v>
      </c>
      <c r="G46" s="818">
        <v>0.3</v>
      </c>
      <c r="H46" s="818">
        <v>0.25</v>
      </c>
    </row>
    <row r="47" spans="1:9" ht="19.5" customHeight="1">
      <c r="A47" s="893" t="s">
        <v>158</v>
      </c>
      <c r="B47" s="818">
        <v>0.7</v>
      </c>
      <c r="C47" s="818">
        <v>0.4</v>
      </c>
      <c r="D47" s="818">
        <v>0.28000000000000003</v>
      </c>
      <c r="E47" s="818">
        <v>0.25</v>
      </c>
      <c r="F47" s="818">
        <v>0.25</v>
      </c>
      <c r="G47" s="818">
        <v>0.25</v>
      </c>
      <c r="H47" s="818">
        <v>0.2</v>
      </c>
    </row>
    <row r="48" spans="1:9" ht="19.5" customHeight="1">
      <c r="A48" s="893" t="s">
        <v>159</v>
      </c>
      <c r="B48" s="818">
        <v>0.7</v>
      </c>
      <c r="C48" s="818">
        <v>0.4</v>
      </c>
      <c r="D48" s="818">
        <v>0.28000000000000003</v>
      </c>
      <c r="E48" s="818">
        <v>0.25</v>
      </c>
      <c r="F48" s="818">
        <v>0.25</v>
      </c>
      <c r="G48" s="818">
        <v>0.25</v>
      </c>
      <c r="H48" s="818">
        <v>0.2</v>
      </c>
    </row>
    <row r="49" spans="1:8" s="878" customFormat="1" ht="19.5" customHeight="1">
      <c r="A49" s="893" t="s">
        <v>160</v>
      </c>
      <c r="B49" s="818">
        <v>0.7</v>
      </c>
      <c r="C49" s="818">
        <v>0.4</v>
      </c>
      <c r="D49" s="818">
        <v>0.28000000000000003</v>
      </c>
      <c r="E49" s="818">
        <v>0.25</v>
      </c>
      <c r="F49" s="818">
        <v>0.25</v>
      </c>
      <c r="G49" s="818">
        <v>0.25</v>
      </c>
      <c r="H49" s="818">
        <v>0.2</v>
      </c>
    </row>
    <row r="50" spans="1:8" s="878" customFormat="1" ht="19.5" customHeight="1">
      <c r="A50" s="893" t="s">
        <v>161</v>
      </c>
      <c r="B50" s="818">
        <v>0.7</v>
      </c>
      <c r="C50" s="818">
        <v>0.4</v>
      </c>
      <c r="D50" s="818">
        <v>0.28000000000000003</v>
      </c>
      <c r="E50" s="818">
        <v>0.25</v>
      </c>
      <c r="F50" s="818">
        <v>0.25</v>
      </c>
      <c r="G50" s="818">
        <v>0.25</v>
      </c>
      <c r="H50" s="818">
        <v>0.2</v>
      </c>
    </row>
    <row r="51" spans="1:8" s="878" customFormat="1" ht="19.5" customHeight="1">
      <c r="A51" s="893" t="s">
        <v>162</v>
      </c>
      <c r="B51" s="818">
        <v>0.7</v>
      </c>
      <c r="C51" s="818">
        <v>0.4</v>
      </c>
      <c r="D51" s="818">
        <v>0.28000000000000003</v>
      </c>
      <c r="E51" s="818">
        <v>0.25</v>
      </c>
      <c r="F51" s="818">
        <v>0.25</v>
      </c>
      <c r="G51" s="818">
        <v>0.25</v>
      </c>
      <c r="H51" s="818">
        <v>0.2</v>
      </c>
    </row>
    <row r="52" spans="1:8" s="878" customFormat="1" ht="19.5" customHeight="1">
      <c r="A52" s="893" t="s">
        <v>163</v>
      </c>
      <c r="B52" s="818">
        <v>0.6</v>
      </c>
      <c r="C52" s="818">
        <v>0.3</v>
      </c>
      <c r="D52" s="818">
        <v>0.2</v>
      </c>
      <c r="E52" s="818">
        <v>0.2</v>
      </c>
      <c r="F52" s="818">
        <v>0.2</v>
      </c>
      <c r="G52" s="818">
        <v>0.2</v>
      </c>
      <c r="H52" s="818">
        <v>0.15</v>
      </c>
    </row>
    <row r="53" spans="1:8" s="878" customFormat="1" ht="19.5" customHeight="1">
      <c r="A53" s="893" t="s">
        <v>164</v>
      </c>
      <c r="B53" s="818">
        <v>0.6</v>
      </c>
      <c r="C53" s="818">
        <v>0.3</v>
      </c>
      <c r="D53" s="818">
        <v>0.2</v>
      </c>
      <c r="E53" s="818">
        <v>0.2</v>
      </c>
      <c r="F53" s="818">
        <v>0.2</v>
      </c>
      <c r="G53" s="818">
        <v>0.2</v>
      </c>
      <c r="H53" s="818">
        <v>0.15</v>
      </c>
    </row>
    <row r="54" spans="1:8" s="878" customFormat="1" ht="19.5" customHeight="1">
      <c r="A54" s="893" t="s">
        <v>165</v>
      </c>
      <c r="B54" s="818">
        <v>0.6</v>
      </c>
      <c r="C54" s="818">
        <v>0.3</v>
      </c>
      <c r="D54" s="818">
        <v>0.2</v>
      </c>
      <c r="E54" s="818">
        <v>0.2</v>
      </c>
      <c r="F54" s="818">
        <v>0.2</v>
      </c>
      <c r="G54" s="818">
        <v>0.2</v>
      </c>
      <c r="H54" s="818">
        <v>0.15</v>
      </c>
    </row>
    <row r="55" spans="1:8" s="878" customFormat="1" ht="19.5" customHeight="1">
      <c r="A55" s="893" t="s">
        <v>166</v>
      </c>
      <c r="B55" s="818">
        <v>0.6</v>
      </c>
      <c r="C55" s="818">
        <v>0.3</v>
      </c>
      <c r="D55" s="818">
        <v>0.2</v>
      </c>
      <c r="E55" s="818">
        <v>0.2</v>
      </c>
      <c r="F55" s="818">
        <v>0.2</v>
      </c>
      <c r="G55" s="818">
        <v>0.2</v>
      </c>
      <c r="H55" s="818">
        <v>0.15</v>
      </c>
    </row>
    <row r="56" spans="1:8" s="878" customFormat="1" ht="19.5" customHeight="1">
      <c r="A56" s="893" t="s">
        <v>167</v>
      </c>
      <c r="B56" s="818">
        <v>0.6</v>
      </c>
      <c r="C56" s="818">
        <v>0.3</v>
      </c>
      <c r="D56" s="818">
        <v>0.2</v>
      </c>
      <c r="E56" s="818">
        <v>0.2</v>
      </c>
      <c r="F56" s="818">
        <v>0.2</v>
      </c>
      <c r="G56" s="818">
        <v>0.2</v>
      </c>
      <c r="H56" s="818">
        <v>0.15</v>
      </c>
    </row>
    <row r="58" spans="1:8" s="878" customFormat="1" ht="19.5" customHeight="1">
      <c r="A58" s="894"/>
      <c r="B58" s="876"/>
      <c r="C58" s="876"/>
      <c r="D58" s="876" t="s">
        <v>606</v>
      </c>
      <c r="E58" s="876"/>
      <c r="F58" s="876"/>
    </row>
    <row r="59" spans="1:8" s="878" customFormat="1" ht="19.5" customHeight="1">
      <c r="A59" s="882" t="s">
        <v>607</v>
      </c>
      <c r="B59" s="882" t="s">
        <v>608</v>
      </c>
      <c r="C59" s="882" t="s">
        <v>609</v>
      </c>
      <c r="D59" s="882" t="s">
        <v>610</v>
      </c>
      <c r="E59" s="882" t="s">
        <v>611</v>
      </c>
      <c r="F59" s="882" t="s">
        <v>612</v>
      </c>
    </row>
    <row r="60" spans="1:8" ht="13.5">
      <c r="A60" s="943"/>
      <c r="B60" s="943"/>
      <c r="C60" s="943" t="s">
        <v>744</v>
      </c>
      <c r="D60" s="943"/>
      <c r="E60" s="895" t="s">
        <v>1</v>
      </c>
      <c r="F60" s="943" t="s">
        <v>1</v>
      </c>
    </row>
    <row r="61" spans="1:8" s="878" customFormat="1" ht="24">
      <c r="A61" s="882">
        <v>1</v>
      </c>
      <c r="B61" s="3258" t="s">
        <v>613</v>
      </c>
      <c r="C61" s="818" t="s">
        <v>614</v>
      </c>
      <c r="D61" s="818" t="s">
        <v>615</v>
      </c>
      <c r="E61" s="895">
        <v>0.5</v>
      </c>
      <c r="F61" s="882">
        <v>80</v>
      </c>
    </row>
    <row r="62" spans="1:8" s="878" customFormat="1" ht="24">
      <c r="A62" s="882">
        <v>2</v>
      </c>
      <c r="B62" s="3258"/>
      <c r="C62" s="818" t="s">
        <v>616</v>
      </c>
      <c r="D62" s="818" t="s">
        <v>617</v>
      </c>
      <c r="E62" s="895">
        <v>0.5</v>
      </c>
      <c r="F62" s="882">
        <v>80</v>
      </c>
    </row>
    <row r="63" spans="1:8" s="878" customFormat="1" ht="36">
      <c r="A63" s="882">
        <v>3</v>
      </c>
      <c r="B63" s="3258"/>
      <c r="C63" s="818" t="s">
        <v>618</v>
      </c>
      <c r="D63" s="818" t="s">
        <v>619</v>
      </c>
      <c r="E63" s="895">
        <v>0.5</v>
      </c>
      <c r="F63" s="882">
        <v>80</v>
      </c>
    </row>
    <row r="64" spans="1:8" s="878" customFormat="1" ht="36">
      <c r="A64" s="882">
        <v>4</v>
      </c>
      <c r="B64" s="3258"/>
      <c r="C64" s="818" t="s">
        <v>620</v>
      </c>
      <c r="D64" s="818" t="s">
        <v>621</v>
      </c>
      <c r="E64" s="895">
        <v>0.4</v>
      </c>
      <c r="F64" s="882">
        <v>60</v>
      </c>
    </row>
    <row r="65" spans="1:6" s="878" customFormat="1" ht="36">
      <c r="A65" s="882">
        <v>5</v>
      </c>
      <c r="B65" s="3258"/>
      <c r="C65" s="818" t="s">
        <v>622</v>
      </c>
      <c r="D65" s="818" t="s">
        <v>623</v>
      </c>
      <c r="E65" s="895">
        <v>0.2</v>
      </c>
      <c r="F65" s="882">
        <v>30</v>
      </c>
    </row>
    <row r="66" spans="1:6" s="878" customFormat="1" ht="36">
      <c r="A66" s="882">
        <v>6</v>
      </c>
      <c r="B66" s="3258"/>
      <c r="C66" s="818" t="s">
        <v>624</v>
      </c>
      <c r="D66" s="818" t="s">
        <v>625</v>
      </c>
      <c r="E66" s="895">
        <v>0.3</v>
      </c>
      <c r="F66" s="882">
        <v>50</v>
      </c>
    </row>
    <row r="67" spans="1:6" s="878" customFormat="1" ht="36">
      <c r="A67" s="882">
        <v>7</v>
      </c>
      <c r="B67" s="3258"/>
      <c r="C67" s="818" t="s">
        <v>626</v>
      </c>
      <c r="D67" s="818" t="s">
        <v>627</v>
      </c>
      <c r="E67" s="895">
        <v>0.2</v>
      </c>
      <c r="F67" s="882">
        <v>30</v>
      </c>
    </row>
    <row r="68" spans="1:6" s="878" customFormat="1" ht="36">
      <c r="A68" s="882">
        <v>8</v>
      </c>
      <c r="B68" s="3258"/>
      <c r="C68" s="818" t="s">
        <v>628</v>
      </c>
      <c r="D68" s="818" t="s">
        <v>629</v>
      </c>
      <c r="E68" s="895">
        <v>0.2</v>
      </c>
      <c r="F68" s="882">
        <v>30</v>
      </c>
    </row>
    <row r="69" spans="1:6" s="878" customFormat="1" ht="36">
      <c r="A69" s="882">
        <v>9</v>
      </c>
      <c r="B69" s="3258"/>
      <c r="C69" s="818" t="s">
        <v>630</v>
      </c>
      <c r="D69" s="818" t="s">
        <v>631</v>
      </c>
      <c r="E69" s="895">
        <v>0.2</v>
      </c>
      <c r="F69" s="882">
        <v>30</v>
      </c>
    </row>
    <row r="70" spans="1:6" s="878" customFormat="1" ht="48">
      <c r="A70" s="882">
        <v>10</v>
      </c>
      <c r="B70" s="3258"/>
      <c r="C70" s="818" t="s">
        <v>632</v>
      </c>
      <c r="D70" s="818" t="s">
        <v>633</v>
      </c>
      <c r="E70" s="895">
        <v>0.2</v>
      </c>
      <c r="F70" s="882">
        <v>30</v>
      </c>
    </row>
    <row r="71" spans="1:6" s="878" customFormat="1" ht="48">
      <c r="A71" s="882">
        <v>11</v>
      </c>
      <c r="B71" s="3258"/>
      <c r="C71" s="818" t="s">
        <v>634</v>
      </c>
      <c r="D71" s="818" t="s">
        <v>635</v>
      </c>
      <c r="E71" s="895">
        <v>0.2</v>
      </c>
      <c r="F71" s="882">
        <v>30</v>
      </c>
    </row>
    <row r="72" spans="1:6" s="878" customFormat="1" ht="36">
      <c r="A72" s="882">
        <v>12</v>
      </c>
      <c r="B72" s="3258"/>
      <c r="C72" s="818" t="s">
        <v>636</v>
      </c>
      <c r="D72" s="818" t="s">
        <v>637</v>
      </c>
      <c r="E72" s="895">
        <v>0.5</v>
      </c>
      <c r="F72" s="882">
        <v>80</v>
      </c>
    </row>
    <row r="73" spans="1:6" s="878" customFormat="1" ht="24">
      <c r="A73" s="882">
        <v>13</v>
      </c>
      <c r="B73" s="3258"/>
      <c r="C73" s="818" t="s">
        <v>638</v>
      </c>
      <c r="D73" s="818" t="s">
        <v>639</v>
      </c>
      <c r="E73" s="895">
        <v>0.4</v>
      </c>
      <c r="F73" s="882">
        <v>60</v>
      </c>
    </row>
    <row r="74" spans="1:6" s="878" customFormat="1" ht="24">
      <c r="A74" s="882">
        <v>14</v>
      </c>
      <c r="B74" s="3258"/>
      <c r="C74" s="818" t="s">
        <v>640</v>
      </c>
      <c r="D74" s="818" t="s">
        <v>641</v>
      </c>
      <c r="E74" s="895">
        <v>0.2</v>
      </c>
      <c r="F74" s="882">
        <v>30</v>
      </c>
    </row>
    <row r="75" spans="1:6" s="878" customFormat="1" ht="24">
      <c r="A75" s="882">
        <v>15</v>
      </c>
      <c r="B75" s="3258"/>
      <c r="C75" s="818" t="s">
        <v>642</v>
      </c>
      <c r="D75" s="818" t="s">
        <v>643</v>
      </c>
      <c r="E75" s="895">
        <v>0.2</v>
      </c>
      <c r="F75" s="882">
        <v>30</v>
      </c>
    </row>
    <row r="76" spans="1:6" s="878" customFormat="1" ht="24">
      <c r="A76" s="882">
        <v>16</v>
      </c>
      <c r="B76" s="3258" t="s">
        <v>644</v>
      </c>
      <c r="C76" s="818" t="s">
        <v>645</v>
      </c>
      <c r="D76" s="818" t="s">
        <v>646</v>
      </c>
      <c r="E76" s="895">
        <v>0.5</v>
      </c>
      <c r="F76" s="882">
        <v>80</v>
      </c>
    </row>
    <row r="77" spans="1:6" s="878" customFormat="1" ht="24">
      <c r="A77" s="882">
        <v>17</v>
      </c>
      <c r="B77" s="3258"/>
      <c r="C77" s="818" t="s">
        <v>647</v>
      </c>
      <c r="D77" s="818" t="s">
        <v>648</v>
      </c>
      <c r="E77" s="895">
        <v>0.5</v>
      </c>
      <c r="F77" s="882">
        <v>80</v>
      </c>
    </row>
    <row r="78" spans="1:6" s="878" customFormat="1" ht="24">
      <c r="A78" s="882">
        <v>18</v>
      </c>
      <c r="B78" s="3258"/>
      <c r="C78" s="818" t="s">
        <v>649</v>
      </c>
      <c r="D78" s="818" t="s">
        <v>650</v>
      </c>
      <c r="E78" s="895">
        <v>0.2</v>
      </c>
      <c r="F78" s="882">
        <v>30</v>
      </c>
    </row>
    <row r="79" spans="1:6" s="878" customFormat="1" ht="24">
      <c r="A79" s="882">
        <v>19</v>
      </c>
      <c r="B79" s="3258"/>
      <c r="C79" s="818" t="s">
        <v>651</v>
      </c>
      <c r="D79" s="818" t="s">
        <v>652</v>
      </c>
      <c r="E79" s="895">
        <v>0.5</v>
      </c>
      <c r="F79" s="882">
        <v>80</v>
      </c>
    </row>
    <row r="80" spans="1:6" s="878" customFormat="1" ht="36">
      <c r="A80" s="882">
        <v>20</v>
      </c>
      <c r="B80" s="3258"/>
      <c r="C80" s="818" t="s">
        <v>653</v>
      </c>
      <c r="D80" s="818" t="s">
        <v>654</v>
      </c>
      <c r="E80" s="895">
        <v>0.2</v>
      </c>
      <c r="F80" s="882">
        <v>30</v>
      </c>
    </row>
    <row r="81" spans="1:6" s="878" customFormat="1" ht="36">
      <c r="A81" s="882">
        <v>21</v>
      </c>
      <c r="B81" s="3258"/>
      <c r="C81" s="818" t="s">
        <v>655</v>
      </c>
      <c r="D81" s="818" t="s">
        <v>656</v>
      </c>
      <c r="E81" s="895">
        <v>0.2</v>
      </c>
      <c r="F81" s="882">
        <v>30</v>
      </c>
    </row>
    <row r="82" spans="1:6" s="878" customFormat="1" ht="48">
      <c r="A82" s="882">
        <v>22</v>
      </c>
      <c r="B82" s="3258"/>
      <c r="C82" s="818" t="s">
        <v>657</v>
      </c>
      <c r="D82" s="818" t="s">
        <v>658</v>
      </c>
      <c r="E82" s="895">
        <v>0.2</v>
      </c>
      <c r="F82" s="882">
        <v>30</v>
      </c>
    </row>
    <row r="83" spans="1:6" s="878" customFormat="1" ht="48">
      <c r="A83" s="882">
        <v>23</v>
      </c>
      <c r="B83" s="3258"/>
      <c r="C83" s="818" t="s">
        <v>659</v>
      </c>
      <c r="D83" s="818" t="s">
        <v>660</v>
      </c>
      <c r="E83" s="895">
        <v>0.2</v>
      </c>
      <c r="F83" s="882">
        <v>30</v>
      </c>
    </row>
    <row r="84" spans="1:6" s="878" customFormat="1" ht="36">
      <c r="A84" s="882">
        <v>24</v>
      </c>
      <c r="B84" s="3258"/>
      <c r="C84" s="818" t="s">
        <v>661</v>
      </c>
      <c r="D84" s="818" t="s">
        <v>662</v>
      </c>
      <c r="E84" s="895">
        <v>0.2</v>
      </c>
      <c r="F84" s="882">
        <v>30</v>
      </c>
    </row>
    <row r="85" spans="1:6" s="878" customFormat="1" ht="36">
      <c r="A85" s="882">
        <v>25</v>
      </c>
      <c r="B85" s="3258"/>
      <c r="C85" s="818" t="s">
        <v>663</v>
      </c>
      <c r="D85" s="818" t="s">
        <v>664</v>
      </c>
      <c r="E85" s="895">
        <v>0.5</v>
      </c>
      <c r="F85" s="882">
        <v>80</v>
      </c>
    </row>
    <row r="86" spans="1:6" s="878" customFormat="1" ht="36">
      <c r="A86" s="882">
        <v>26</v>
      </c>
      <c r="B86" s="3258"/>
      <c r="C86" s="818" t="s">
        <v>665</v>
      </c>
      <c r="D86" s="818" t="s">
        <v>666</v>
      </c>
      <c r="E86" s="895">
        <v>0.2</v>
      </c>
      <c r="F86" s="882">
        <v>30</v>
      </c>
    </row>
    <row r="87" spans="1:6" s="878" customFormat="1" ht="36">
      <c r="A87" s="882">
        <v>27</v>
      </c>
      <c r="B87" s="3258"/>
      <c r="C87" s="818" t="s">
        <v>667</v>
      </c>
      <c r="D87" s="818" t="s">
        <v>668</v>
      </c>
      <c r="E87" s="895">
        <v>0.2</v>
      </c>
      <c r="F87" s="882">
        <v>30</v>
      </c>
    </row>
    <row r="88" spans="1:6" s="878" customFormat="1" ht="36">
      <c r="A88" s="882">
        <v>28</v>
      </c>
      <c r="B88" s="3258"/>
      <c r="C88" s="818" t="s">
        <v>669</v>
      </c>
      <c r="D88" s="818" t="s">
        <v>670</v>
      </c>
      <c r="E88" s="895">
        <v>0.2</v>
      </c>
      <c r="F88" s="882">
        <v>30</v>
      </c>
    </row>
    <row r="89" spans="1:6" s="878" customFormat="1" ht="24">
      <c r="A89" s="882">
        <v>29</v>
      </c>
      <c r="B89" s="3258"/>
      <c r="C89" s="818" t="s">
        <v>671</v>
      </c>
      <c r="D89" s="818" t="s">
        <v>672</v>
      </c>
      <c r="E89" s="895">
        <v>0.2</v>
      </c>
      <c r="F89" s="882">
        <v>30</v>
      </c>
    </row>
    <row r="90" spans="1:6" s="878" customFormat="1" ht="24">
      <c r="A90" s="882">
        <v>30</v>
      </c>
      <c r="B90" s="3258"/>
      <c r="C90" s="818" t="s">
        <v>673</v>
      </c>
      <c r="D90" s="818" t="s">
        <v>674</v>
      </c>
      <c r="E90" s="895">
        <v>0.2</v>
      </c>
      <c r="F90" s="882">
        <v>30</v>
      </c>
    </row>
    <row r="91" spans="1:6" s="878" customFormat="1" ht="36">
      <c r="A91" s="882">
        <v>31</v>
      </c>
      <c r="B91" s="3258"/>
      <c r="C91" s="818" t="s">
        <v>675</v>
      </c>
      <c r="D91" s="818" t="s">
        <v>676</v>
      </c>
      <c r="E91" s="895">
        <v>0.2</v>
      </c>
      <c r="F91" s="882">
        <v>30</v>
      </c>
    </row>
    <row r="92" spans="1:6" s="878" customFormat="1" ht="24">
      <c r="A92" s="882">
        <v>32</v>
      </c>
      <c r="B92" s="3258" t="s">
        <v>677</v>
      </c>
      <c r="C92" s="882" t="s">
        <v>678</v>
      </c>
      <c r="D92" s="818" t="s">
        <v>679</v>
      </c>
      <c r="E92" s="895">
        <v>0.2</v>
      </c>
      <c r="F92" s="882">
        <v>30</v>
      </c>
    </row>
    <row r="93" spans="1:6" s="878" customFormat="1" ht="36">
      <c r="A93" s="882">
        <v>33</v>
      </c>
      <c r="B93" s="3258"/>
      <c r="C93" s="882" t="s">
        <v>680</v>
      </c>
      <c r="D93" s="818" t="s">
        <v>681</v>
      </c>
      <c r="E93" s="895">
        <v>0.2</v>
      </c>
      <c r="F93" s="882">
        <v>30</v>
      </c>
    </row>
    <row r="94" spans="1:6" s="878" customFormat="1" ht="48">
      <c r="A94" s="882">
        <v>34</v>
      </c>
      <c r="B94" s="3258"/>
      <c r="C94" s="882" t="s">
        <v>682</v>
      </c>
      <c r="D94" s="818" t="s">
        <v>683</v>
      </c>
      <c r="E94" s="895">
        <v>0.2</v>
      </c>
      <c r="F94" s="882">
        <v>30</v>
      </c>
    </row>
    <row r="95" spans="1:6" s="878" customFormat="1" ht="36">
      <c r="A95" s="882">
        <v>35</v>
      </c>
      <c r="B95" s="3258"/>
      <c r="C95" s="882" t="s">
        <v>684</v>
      </c>
      <c r="D95" s="818" t="s">
        <v>685</v>
      </c>
      <c r="E95" s="895">
        <v>0.2</v>
      </c>
      <c r="F95" s="882">
        <v>30</v>
      </c>
    </row>
    <row r="96" spans="1:6" s="878" customFormat="1" ht="48">
      <c r="A96" s="882">
        <v>36</v>
      </c>
      <c r="B96" s="3258"/>
      <c r="C96" s="818" t="s">
        <v>686</v>
      </c>
      <c r="D96" s="818" t="s">
        <v>687</v>
      </c>
      <c r="E96" s="895">
        <v>0.2</v>
      </c>
      <c r="F96" s="882">
        <v>30</v>
      </c>
    </row>
    <row r="97" spans="1:6" s="878" customFormat="1" ht="36">
      <c r="A97" s="882">
        <v>37</v>
      </c>
      <c r="B97" s="3258"/>
      <c r="C97" s="882" t="s">
        <v>688</v>
      </c>
      <c r="D97" s="818" t="s">
        <v>689</v>
      </c>
      <c r="E97" s="895">
        <v>0.2</v>
      </c>
      <c r="F97" s="882">
        <v>30</v>
      </c>
    </row>
    <row r="98" spans="1:6" s="878" customFormat="1" ht="36">
      <c r="A98" s="882">
        <v>38</v>
      </c>
      <c r="B98" s="3258"/>
      <c r="C98" s="882" t="s">
        <v>690</v>
      </c>
      <c r="D98" s="818" t="s">
        <v>691</v>
      </c>
      <c r="E98" s="895">
        <v>0.2</v>
      </c>
      <c r="F98" s="882">
        <v>30</v>
      </c>
    </row>
    <row r="99" spans="1:6" s="878" customFormat="1" ht="36">
      <c r="A99" s="882">
        <v>39</v>
      </c>
      <c r="B99" s="3258" t="s">
        <v>692</v>
      </c>
      <c r="C99" s="882" t="s">
        <v>693</v>
      </c>
      <c r="D99" s="818" t="s">
        <v>694</v>
      </c>
      <c r="E99" s="895">
        <v>0.3</v>
      </c>
      <c r="F99" s="882">
        <v>50</v>
      </c>
    </row>
    <row r="100" spans="1:6" s="878" customFormat="1" ht="24">
      <c r="A100" s="882">
        <v>40</v>
      </c>
      <c r="B100" s="3258"/>
      <c r="C100" s="882" t="s">
        <v>695</v>
      </c>
      <c r="D100" s="818" t="s">
        <v>696</v>
      </c>
      <c r="E100" s="895">
        <v>0.2</v>
      </c>
      <c r="F100" s="882">
        <v>30</v>
      </c>
    </row>
    <row r="101" spans="1:6" s="878" customFormat="1" ht="36">
      <c r="A101" s="882">
        <v>41</v>
      </c>
      <c r="B101" s="3258"/>
      <c r="C101" s="882" t="s">
        <v>697</v>
      </c>
      <c r="D101" s="818" t="s">
        <v>694</v>
      </c>
      <c r="E101" s="895">
        <v>0.2</v>
      </c>
      <c r="F101" s="882">
        <v>30</v>
      </c>
    </row>
    <row r="102" spans="1:6" s="878" customFormat="1" ht="48">
      <c r="A102" s="882">
        <v>42</v>
      </c>
      <c r="B102" s="882" t="s">
        <v>698</v>
      </c>
      <c r="C102" s="818" t="s">
        <v>699</v>
      </c>
      <c r="D102" s="818" t="s">
        <v>700</v>
      </c>
      <c r="E102" s="895">
        <v>0.2</v>
      </c>
      <c r="F102" s="882">
        <v>30</v>
      </c>
    </row>
    <row r="103" spans="1:6" s="878" customFormat="1" ht="24">
      <c r="A103" s="882">
        <v>43</v>
      </c>
      <c r="B103" s="882" t="s">
        <v>701</v>
      </c>
      <c r="C103" s="882" t="s">
        <v>702</v>
      </c>
      <c r="D103" s="818" t="s">
        <v>703</v>
      </c>
      <c r="E103" s="895">
        <v>0.2</v>
      </c>
      <c r="F103" s="882">
        <v>30</v>
      </c>
    </row>
    <row r="104" spans="1:6" s="878" customFormat="1" ht="36">
      <c r="A104" s="882">
        <v>44</v>
      </c>
      <c r="B104" s="882" t="s">
        <v>704</v>
      </c>
      <c r="C104" s="882" t="s">
        <v>705</v>
      </c>
      <c r="D104" s="818" t="s">
        <v>706</v>
      </c>
      <c r="E104" s="895">
        <v>0.2</v>
      </c>
      <c r="F104" s="882">
        <v>30</v>
      </c>
    </row>
    <row r="105" spans="1:6" s="878" customFormat="1" ht="36">
      <c r="A105" s="882">
        <v>45</v>
      </c>
      <c r="B105" s="3258" t="s">
        <v>707</v>
      </c>
      <c r="C105" s="882" t="s">
        <v>708</v>
      </c>
      <c r="D105" s="818" t="s">
        <v>709</v>
      </c>
      <c r="E105" s="895">
        <v>0.2</v>
      </c>
      <c r="F105" s="882">
        <v>30</v>
      </c>
    </row>
    <row r="106" spans="1:6" s="878" customFormat="1" ht="36">
      <c r="A106" s="882">
        <v>46</v>
      </c>
      <c r="B106" s="3258"/>
      <c r="C106" s="882" t="s">
        <v>710</v>
      </c>
      <c r="D106" s="818" t="s">
        <v>711</v>
      </c>
      <c r="E106" s="895">
        <v>0.2</v>
      </c>
      <c r="F106" s="882">
        <v>30</v>
      </c>
    </row>
    <row r="107" spans="1:6" s="878" customFormat="1" ht="36">
      <c r="A107" s="882">
        <v>47</v>
      </c>
      <c r="B107" s="3258" t="s">
        <v>712</v>
      </c>
      <c r="C107" s="882" t="s">
        <v>713</v>
      </c>
      <c r="D107" s="818" t="s">
        <v>714</v>
      </c>
      <c r="E107" s="895">
        <v>0.3</v>
      </c>
      <c r="F107" s="882">
        <v>50</v>
      </c>
    </row>
    <row r="108" spans="1:6" s="878" customFormat="1" ht="36">
      <c r="A108" s="882">
        <v>48</v>
      </c>
      <c r="B108" s="3258"/>
      <c r="C108" s="882" t="s">
        <v>715</v>
      </c>
      <c r="D108" s="818" t="s">
        <v>716</v>
      </c>
      <c r="E108" s="895">
        <v>0.2</v>
      </c>
      <c r="F108" s="882">
        <v>30</v>
      </c>
    </row>
    <row r="109" spans="1:6" s="878" customFormat="1" ht="36">
      <c r="A109" s="882">
        <v>49</v>
      </c>
      <c r="B109" s="882" t="s">
        <v>717</v>
      </c>
      <c r="C109" s="882" t="s">
        <v>718</v>
      </c>
      <c r="D109" s="818" t="s">
        <v>719</v>
      </c>
      <c r="E109" s="895">
        <v>0.2</v>
      </c>
      <c r="F109" s="882">
        <v>30</v>
      </c>
    </row>
    <row r="110" spans="1:6" s="878" customFormat="1" ht="36">
      <c r="A110" s="882">
        <v>50</v>
      </c>
      <c r="B110" s="882" t="s">
        <v>720</v>
      </c>
      <c r="C110" s="882" t="s">
        <v>721</v>
      </c>
      <c r="D110" s="818" t="s">
        <v>722</v>
      </c>
      <c r="E110" s="895">
        <v>0.2</v>
      </c>
      <c r="F110" s="882">
        <v>30</v>
      </c>
    </row>
    <row r="111" spans="1:6" s="878" customFormat="1" ht="36">
      <c r="A111" s="882">
        <v>51</v>
      </c>
      <c r="B111" s="3258" t="s">
        <v>723</v>
      </c>
      <c r="C111" s="882" t="s">
        <v>724</v>
      </c>
      <c r="D111" s="818" t="s">
        <v>725</v>
      </c>
      <c r="E111" s="895">
        <v>0.2</v>
      </c>
      <c r="F111" s="882">
        <v>30</v>
      </c>
    </row>
    <row r="112" spans="1:6" s="878" customFormat="1" ht="24">
      <c r="A112" s="882">
        <v>52</v>
      </c>
      <c r="B112" s="3258"/>
      <c r="C112" s="882" t="s">
        <v>726</v>
      </c>
      <c r="D112" s="818" t="s">
        <v>727</v>
      </c>
      <c r="E112" s="895">
        <v>0.2</v>
      </c>
      <c r="F112" s="882">
        <v>30</v>
      </c>
    </row>
    <row r="113" spans="1:6" s="878" customFormat="1" ht="24">
      <c r="A113" s="882">
        <v>53</v>
      </c>
      <c r="B113" s="3258"/>
      <c r="C113" s="882" t="s">
        <v>728</v>
      </c>
      <c r="D113" s="818" t="s">
        <v>729</v>
      </c>
      <c r="E113" s="895">
        <v>0.2</v>
      </c>
      <c r="F113" s="882">
        <v>30</v>
      </c>
    </row>
    <row r="114" spans="1:6" ht="36">
      <c r="A114" s="882">
        <v>54</v>
      </c>
      <c r="B114" s="882" t="s">
        <v>730</v>
      </c>
      <c r="C114" s="882" t="s">
        <v>731</v>
      </c>
      <c r="D114" s="818" t="s">
        <v>732</v>
      </c>
      <c r="E114" s="895">
        <v>0.2</v>
      </c>
      <c r="F114" s="882">
        <v>30</v>
      </c>
    </row>
    <row r="115" spans="1:6" ht="24">
      <c r="A115" s="882">
        <v>55</v>
      </c>
      <c r="B115" s="882" t="s">
        <v>733</v>
      </c>
      <c r="C115" s="882" t="s">
        <v>734</v>
      </c>
      <c r="D115" s="818" t="s">
        <v>735</v>
      </c>
      <c r="E115" s="895">
        <v>0.2</v>
      </c>
      <c r="F115" s="882">
        <v>30</v>
      </c>
    </row>
    <row r="116" spans="1:6" ht="24">
      <c r="A116" s="882">
        <v>56</v>
      </c>
      <c r="B116" s="3258" t="s">
        <v>736</v>
      </c>
      <c r="C116" s="882" t="s">
        <v>737</v>
      </c>
      <c r="D116" s="818" t="s">
        <v>738</v>
      </c>
      <c r="E116" s="895">
        <v>0.2</v>
      </c>
      <c r="F116" s="882">
        <v>30</v>
      </c>
    </row>
    <row r="117" spans="1:6" ht="36">
      <c r="A117" s="882">
        <v>57</v>
      </c>
      <c r="B117" s="3258"/>
      <c r="C117" s="882" t="s">
        <v>739</v>
      </c>
      <c r="D117" s="818" t="s">
        <v>740</v>
      </c>
      <c r="E117" s="895">
        <v>0.2</v>
      </c>
      <c r="F117" s="882">
        <v>30</v>
      </c>
    </row>
    <row r="118" spans="1:6" ht="36">
      <c r="A118" s="882">
        <v>58</v>
      </c>
      <c r="B118" s="882" t="s">
        <v>741</v>
      </c>
      <c r="C118" s="882" t="s">
        <v>742</v>
      </c>
      <c r="D118" s="818" t="s">
        <v>743</v>
      </c>
      <c r="E118" s="895">
        <v>0.2</v>
      </c>
      <c r="F118" s="882">
        <v>30</v>
      </c>
    </row>
    <row r="119" spans="1:6" ht="13.5">
      <c r="A119" s="882"/>
      <c r="B119" s="882"/>
      <c r="C119" s="882" t="s">
        <v>744</v>
      </c>
      <c r="D119" s="882"/>
      <c r="E119" s="895" t="s">
        <v>554</v>
      </c>
      <c r="F119" s="882" t="s">
        <v>554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746</v>
      </c>
      <c r="B1" s="897"/>
      <c r="C1" s="897"/>
      <c r="D1" s="897"/>
      <c r="E1" s="897"/>
      <c r="F1" s="897"/>
      <c r="G1" s="897"/>
      <c r="H1" s="897"/>
      <c r="I1" s="897"/>
      <c r="J1" s="897"/>
      <c r="K1" s="897"/>
      <c r="L1" s="897"/>
      <c r="M1" s="897"/>
      <c r="N1" s="897"/>
    </row>
    <row r="2" spans="1:14">
      <c r="A2" s="899" t="s">
        <v>745</v>
      </c>
      <c r="B2" s="900" t="s">
        <v>156</v>
      </c>
      <c r="C2" s="900" t="s">
        <v>157</v>
      </c>
      <c r="D2" s="900" t="s">
        <v>158</v>
      </c>
      <c r="E2" s="900" t="s">
        <v>159</v>
      </c>
      <c r="F2" s="900" t="s">
        <v>160</v>
      </c>
      <c r="G2" s="900" t="s">
        <v>161</v>
      </c>
      <c r="H2" s="901" t="s">
        <v>162</v>
      </c>
      <c r="I2" s="901" t="s">
        <v>163</v>
      </c>
      <c r="J2" s="902" t="s">
        <v>164</v>
      </c>
      <c r="K2" s="902" t="s">
        <v>165</v>
      </c>
      <c r="L2" s="902" t="s">
        <v>166</v>
      </c>
      <c r="M2" s="902" t="s">
        <v>167</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747</v>
      </c>
      <c r="B103" s="897"/>
      <c r="C103" s="897"/>
      <c r="D103" s="897"/>
      <c r="E103" s="897"/>
      <c r="F103" s="897"/>
      <c r="G103" s="897"/>
      <c r="H103" s="897"/>
      <c r="I103" s="897"/>
      <c r="J103" s="897"/>
      <c r="K103" s="897"/>
      <c r="L103" s="897"/>
      <c r="M103" s="897"/>
      <c r="N103" s="897"/>
    </row>
    <row r="104" spans="1:14" ht="14.25">
      <c r="A104" s="899" t="s">
        <v>745</v>
      </c>
      <c r="B104" s="900" t="s">
        <v>156</v>
      </c>
      <c r="C104" s="900" t="s">
        <v>157</v>
      </c>
      <c r="D104" s="900" t="s">
        <v>158</v>
      </c>
      <c r="E104" s="900" t="s">
        <v>159</v>
      </c>
      <c r="F104" s="900" t="s">
        <v>160</v>
      </c>
      <c r="G104" s="900" t="s">
        <v>161</v>
      </c>
      <c r="H104" s="901" t="s">
        <v>162</v>
      </c>
      <c r="I104" s="901" t="s">
        <v>163</v>
      </c>
      <c r="J104" s="902" t="s">
        <v>164</v>
      </c>
      <c r="K104" s="902" t="s">
        <v>165</v>
      </c>
      <c r="L104" s="902" t="s">
        <v>166</v>
      </c>
      <c r="M104" s="902" t="s">
        <v>167</v>
      </c>
      <c r="N104" s="897">
        <f>SUMPRODUCT((A105:A204=ROUNDDOWN(基准地价修正!G3,1))*(B104:M104=基准地价修正!G2)*(B105:M204))</f>
        <v>1.1741999999999999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748</v>
      </c>
      <c r="B205" s="897"/>
      <c r="C205" s="897"/>
      <c r="D205" s="897"/>
      <c r="E205" s="897"/>
      <c r="F205" s="897"/>
      <c r="G205" s="897"/>
      <c r="H205" s="897"/>
      <c r="I205" s="897"/>
      <c r="J205" s="897"/>
      <c r="K205" s="897"/>
      <c r="L205" s="897"/>
      <c r="M205" s="897"/>
    </row>
    <row r="206" spans="1:13">
      <c r="A206" s="899" t="s">
        <v>745</v>
      </c>
      <c r="B206" s="900" t="s">
        <v>156</v>
      </c>
      <c r="C206" s="900" t="s">
        <v>157</v>
      </c>
      <c r="D206" s="900" t="s">
        <v>158</v>
      </c>
      <c r="E206" s="900" t="s">
        <v>159</v>
      </c>
      <c r="F206" s="900" t="s">
        <v>160</v>
      </c>
      <c r="G206" s="900" t="s">
        <v>161</v>
      </c>
      <c r="H206" s="901" t="s">
        <v>162</v>
      </c>
      <c r="I206" s="901" t="s">
        <v>163</v>
      </c>
      <c r="J206" s="902" t="s">
        <v>164</v>
      </c>
      <c r="K206" s="902" t="s">
        <v>165</v>
      </c>
      <c r="L206" s="902" t="s">
        <v>166</v>
      </c>
      <c r="M206" s="902" t="s">
        <v>167</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749</v>
      </c>
      <c r="B307" s="897"/>
      <c r="C307" s="897"/>
      <c r="D307" s="897"/>
      <c r="E307" s="897"/>
      <c r="F307" s="897"/>
      <c r="G307" s="897"/>
      <c r="H307" s="897"/>
      <c r="I307" s="897"/>
      <c r="J307" s="897"/>
      <c r="K307" s="897"/>
      <c r="L307" s="897"/>
      <c r="M307" s="897"/>
    </row>
    <row r="308" spans="1:13">
      <c r="A308" s="899" t="s">
        <v>745</v>
      </c>
      <c r="B308" s="900" t="s">
        <v>156</v>
      </c>
      <c r="C308" s="900" t="s">
        <v>157</v>
      </c>
      <c r="D308" s="900" t="s">
        <v>158</v>
      </c>
      <c r="E308" s="900" t="s">
        <v>159</v>
      </c>
      <c r="F308" s="900" t="s">
        <v>160</v>
      </c>
      <c r="G308" s="900" t="s">
        <v>161</v>
      </c>
      <c r="H308" s="901" t="s">
        <v>162</v>
      </c>
      <c r="I308" s="901" t="s">
        <v>163</v>
      </c>
      <c r="J308" s="902" t="s">
        <v>164</v>
      </c>
      <c r="K308" s="902" t="s">
        <v>165</v>
      </c>
      <c r="L308" s="902" t="s">
        <v>166</v>
      </c>
      <c r="M308" s="902" t="s">
        <v>167</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25" sqref="A25"/>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2979</v>
      </c>
    </row>
    <row r="2" spans="1:5" ht="15.75">
      <c r="A2" s="2914" t="s">
        <v>2971</v>
      </c>
      <c r="B2" s="2915">
        <f ca="1">SUMIF(B6:B13,"&lt;&gt;#ref!",B6:B13)</f>
        <v>1684</v>
      </c>
      <c r="C2" s="2914" t="s">
        <v>2972</v>
      </c>
      <c r="D2" s="2914" t="s">
        <v>2973</v>
      </c>
      <c r="E2" s="2915" t="e">
        <f ca="1">SUM(E6:E13)</f>
        <v>#REF!</v>
      </c>
    </row>
    <row r="3" spans="1:5" ht="15.75">
      <c r="A3" s="2914" t="s">
        <v>2974</v>
      </c>
      <c r="B3" s="2915" t="e">
        <f ca="1">ROUND(B2*10000/E2,0)</f>
        <v>#REF!</v>
      </c>
      <c r="C3" s="2914" t="s">
        <v>2980</v>
      </c>
      <c r="D3" s="2916"/>
      <c r="E3" s="2916"/>
    </row>
    <row r="4" spans="1:5" ht="15.75">
      <c r="A4" s="2917"/>
      <c r="B4" s="2916"/>
      <c r="C4" s="2916"/>
      <c r="D4" s="2916"/>
      <c r="E4" s="2916"/>
    </row>
    <row r="5" spans="1:5" ht="28.5">
      <c r="A5" s="2918" t="s">
        <v>2975</v>
      </c>
      <c r="B5" s="2914" t="s">
        <v>2976</v>
      </c>
      <c r="C5" s="2915"/>
      <c r="D5" s="2916"/>
      <c r="E5" s="2914" t="s">
        <v>2977</v>
      </c>
    </row>
    <row r="6" spans="1:5" ht="15.75">
      <c r="A6" s="2919" t="s">
        <v>2978</v>
      </c>
      <c r="B6" s="2915">
        <f ca="1">SUMIF(INDIRECT("'"&amp;A6&amp;"'"&amp;"!A:A"),"总价",INDIRECT("'"&amp;A6&amp;"'"&amp;"!B:B"))</f>
        <v>1684</v>
      </c>
      <c r="C6" s="2914" t="s">
        <v>2972</v>
      </c>
      <c r="D6" s="2916"/>
      <c r="E6" s="2579">
        <f ca="1">SUMIF(INDIRECT("'"&amp;A6&amp;"'"&amp;"!C:C"),"建筑面积",INDIRECT("'"&amp;A6&amp;"'"&amp;"!D:D"))</f>
        <v>16346.349999999999</v>
      </c>
    </row>
    <row r="7" spans="1:5" ht="15.75">
      <c r="A7" s="2919"/>
      <c r="B7" s="2915" t="e">
        <f ca="1">SUMIF(INDIRECT("'"&amp;A7&amp;"'"&amp;"!A:A"),"总价",INDIRECT("'"&amp;A7&amp;"'"&amp;"!B:B"))</f>
        <v>#REF!</v>
      </c>
      <c r="C7" s="2914" t="s">
        <v>2972</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2972</v>
      </c>
      <c r="D8" s="2916"/>
      <c r="E8" s="2579" t="e">
        <f t="shared" ca="1" si="0"/>
        <v>#REF!</v>
      </c>
    </row>
    <row r="9" spans="1:5" ht="15.75">
      <c r="A9" s="2919"/>
      <c r="B9" s="2915" t="e">
        <f t="shared" ca="1" si="1"/>
        <v>#REF!</v>
      </c>
      <c r="C9" s="2914" t="s">
        <v>2972</v>
      </c>
      <c r="D9" s="2916"/>
      <c r="E9" s="2579" t="e">
        <f t="shared" ca="1" si="0"/>
        <v>#REF!</v>
      </c>
    </row>
    <row r="10" spans="1:5" ht="15.75">
      <c r="A10" s="2919"/>
      <c r="B10" s="2915" t="e">
        <f t="shared" ca="1" si="1"/>
        <v>#REF!</v>
      </c>
      <c r="C10" s="2914" t="s">
        <v>2972</v>
      </c>
      <c r="D10" s="2916"/>
      <c r="E10" s="2579" t="e">
        <f t="shared" ca="1" si="0"/>
        <v>#REF!</v>
      </c>
    </row>
    <row r="11" spans="1:5" ht="15.75">
      <c r="A11" s="2919"/>
      <c r="B11" s="2915" t="e">
        <f t="shared" ca="1" si="1"/>
        <v>#REF!</v>
      </c>
      <c r="C11" s="2914" t="s">
        <v>2972</v>
      </c>
      <c r="D11" s="2916"/>
      <c r="E11" s="2579" t="e">
        <f t="shared" ca="1" si="0"/>
        <v>#REF!</v>
      </c>
    </row>
    <row r="12" spans="1:5" ht="15.75">
      <c r="A12" s="2919"/>
      <c r="B12" s="2915" t="e">
        <f t="shared" ca="1" si="1"/>
        <v>#REF!</v>
      </c>
      <c r="C12" s="2914" t="s">
        <v>2972</v>
      </c>
      <c r="D12" s="2916"/>
      <c r="E12" s="2579" t="e">
        <f t="shared" ca="1" si="0"/>
        <v>#REF!</v>
      </c>
    </row>
    <row r="13" spans="1:5" ht="15.75">
      <c r="A13" s="2919"/>
      <c r="B13" s="2915" t="e">
        <f t="shared" ca="1" si="1"/>
        <v>#REF!</v>
      </c>
      <c r="C13" s="2914" t="s">
        <v>2972</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A25" sqref="A2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4" t="s">
        <v>1149</v>
      </c>
      <c r="C1" s="3264"/>
      <c r="D1" s="3264"/>
      <c r="E1" s="3264"/>
      <c r="F1" s="3264"/>
      <c r="G1" s="3263" t="s">
        <v>1150</v>
      </c>
      <c r="H1" s="3263"/>
      <c r="I1" s="3263"/>
      <c r="J1" s="3263"/>
      <c r="K1" s="3263"/>
      <c r="L1" s="3263"/>
      <c r="N1" s="3263" t="s">
        <v>1151</v>
      </c>
      <c r="O1" s="3263"/>
      <c r="P1" s="3263"/>
      <c r="Q1" s="3263"/>
      <c r="R1" s="1449"/>
      <c r="S1" s="3263" t="s">
        <v>1152</v>
      </c>
      <c r="T1" s="3263"/>
      <c r="U1" s="3263"/>
      <c r="V1" s="3263"/>
      <c r="X1" s="3262" t="s">
        <v>1153</v>
      </c>
      <c r="Y1" s="3263"/>
      <c r="Z1" s="3263"/>
      <c r="AA1" s="3263"/>
      <c r="AB1" s="3263"/>
      <c r="AD1" s="3262" t="s">
        <v>1154</v>
      </c>
      <c r="AE1" s="3263"/>
      <c r="AF1" s="3263"/>
      <c r="AG1" s="3263"/>
      <c r="AH1" s="3263"/>
    </row>
    <row r="2" spans="1:34" s="1450" customFormat="1" ht="14.25" thickBot="1">
      <c r="B2" s="1451" t="s">
        <v>1155</v>
      </c>
      <c r="C2" s="1451" t="s">
        <v>1156</v>
      </c>
      <c r="D2" s="1452" t="s">
        <v>1157</v>
      </c>
      <c r="E2" s="1452" t="s">
        <v>1158</v>
      </c>
      <c r="F2" s="1451" t="s">
        <v>1159</v>
      </c>
      <c r="G2" s="1453"/>
      <c r="H2" s="1454"/>
      <c r="I2" s="1451" t="s">
        <v>1155</v>
      </c>
      <c r="J2" s="1452" t="s">
        <v>1384</v>
      </c>
      <c r="K2" s="1452" t="s">
        <v>750</v>
      </c>
      <c r="L2" s="1451" t="s">
        <v>1159</v>
      </c>
      <c r="N2" s="1451" t="s">
        <v>1155</v>
      </c>
      <c r="O2" s="1452" t="s">
        <v>1384</v>
      </c>
      <c r="P2" s="1452" t="s">
        <v>750</v>
      </c>
      <c r="Q2" s="1451" t="s">
        <v>1159</v>
      </c>
      <c r="R2" s="1455"/>
      <c r="S2" s="1451" t="s">
        <v>1155</v>
      </c>
      <c r="T2" s="1452" t="s">
        <v>1384</v>
      </c>
      <c r="U2" s="1452" t="s">
        <v>750</v>
      </c>
      <c r="V2" s="1451" t="s">
        <v>1159</v>
      </c>
      <c r="X2" s="1451" t="s">
        <v>1155</v>
      </c>
      <c r="Y2" s="1451" t="s">
        <v>1156</v>
      </c>
      <c r="Z2" s="1452" t="s">
        <v>1157</v>
      </c>
      <c r="AA2" s="1452" t="s">
        <v>1158</v>
      </c>
      <c r="AB2" s="1451" t="s">
        <v>1159</v>
      </c>
      <c r="AD2" s="1451" t="s">
        <v>1155</v>
      </c>
      <c r="AE2" s="1451" t="s">
        <v>1156</v>
      </c>
      <c r="AF2" s="1452" t="s">
        <v>1157</v>
      </c>
      <c r="AG2" s="1452" t="s">
        <v>1158</v>
      </c>
      <c r="AH2" s="1451" t="s">
        <v>1159</v>
      </c>
    </row>
    <row r="3" spans="1:34" s="2933" customFormat="1" ht="14.25">
      <c r="A3" s="2942" t="s">
        <v>3013</v>
      </c>
      <c r="B3" s="2934"/>
      <c r="C3" s="2934"/>
      <c r="D3" s="2935"/>
      <c r="E3" s="2935"/>
      <c r="F3" s="2934"/>
      <c r="G3" s="2936"/>
      <c r="H3" s="2937"/>
      <c r="I3" s="2938">
        <f>ROUND(AVERAGE($I7:$I22),2)</f>
        <v>2.4500000000000002</v>
      </c>
      <c r="J3" s="2938">
        <f>ROUND(AVERAGE($J7:$J22),2)</f>
        <v>1.65</v>
      </c>
      <c r="K3" s="2938">
        <f>ROUND(AVERAGE($K7:$K22),2)</f>
        <v>2.71</v>
      </c>
      <c r="L3" s="2938">
        <f>ROUND(AVERAGE($L7:$L22),2)</f>
        <v>1.39</v>
      </c>
      <c r="N3" s="2936"/>
      <c r="O3" s="2939"/>
      <c r="P3" s="2939"/>
      <c r="Q3" s="2939"/>
      <c r="R3" s="2939"/>
      <c r="S3" s="2936"/>
      <c r="T3" s="2939"/>
      <c r="U3" s="2939"/>
      <c r="V3" s="2939"/>
      <c r="W3" s="2931"/>
      <c r="X3" s="2940">
        <f>ROUND(SUMPRODUCT(PRODUCT(1+N3:N$21)),4)</f>
        <v>1.4274</v>
      </c>
      <c r="Y3" s="2940">
        <f>ROUND(SUMPRODUCT(PRODUCT(1+O3:O$21)),4)</f>
        <v>1.2685</v>
      </c>
      <c r="Z3" s="2940">
        <f t="shared" ref="Z3:Z19" si="0">Y3</f>
        <v>1.2685</v>
      </c>
      <c r="AA3" s="2940">
        <f>ROUND(SUMPRODUCT(PRODUCT(1+P3:P$21)),4)</f>
        <v>1.4825999999999999</v>
      </c>
      <c r="AB3" s="2940">
        <f>ROUND(SUMPRODUCT(PRODUCT(1+Q3:Q$21)),4)</f>
        <v>1.2309000000000001</v>
      </c>
      <c r="AD3" s="2941">
        <f>ROUND(AVERAGE(I3:I$22)/100,4)</f>
        <v>2.1899999999999999E-2</v>
      </c>
      <c r="AE3" s="2941">
        <f>ROUND(AVERAGE(J3:J$22)/100,4)</f>
        <v>1.47E-2</v>
      </c>
      <c r="AF3" s="2941">
        <f t="shared" ref="AF3:AF20" si="1">AE3</f>
        <v>1.47E-2</v>
      </c>
      <c r="AG3" s="2941">
        <f>ROUND(AVERAGE(K3:K$22)/100,4)</f>
        <v>2.4299999999999999E-2</v>
      </c>
      <c r="AH3" s="2941">
        <f>ROUND(AVERAGE(L3:L$22)/100,4)</f>
        <v>1.2500000000000001E-2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3019</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43">
        <v>2018</v>
      </c>
      <c r="H5" s="1733">
        <v>2</v>
      </c>
      <c r="I5" s="2928">
        <v>0</v>
      </c>
      <c r="J5" s="2928">
        <v>0</v>
      </c>
      <c r="K5" s="2928">
        <v>0</v>
      </c>
      <c r="L5" s="2928">
        <v>0</v>
      </c>
      <c r="N5" s="1470">
        <f t="shared" ref="N5" si="7">I5/100</f>
        <v>0</v>
      </c>
      <c r="O5" s="1470">
        <f t="shared" ref="O5" si="8">J5/100</f>
        <v>0</v>
      </c>
      <c r="P5" s="1470">
        <f t="shared" ref="P5" si="9">K5/100</f>
        <v>0</v>
      </c>
      <c r="Q5" s="1470">
        <f t="shared" ref="Q5" si="10">L5/100</f>
        <v>0</v>
      </c>
      <c r="R5" s="1735"/>
      <c r="S5" s="1736"/>
      <c r="T5" s="1735"/>
      <c r="U5" s="1735"/>
      <c r="V5" s="1735"/>
      <c r="W5" s="2932" t="s">
        <v>3014</v>
      </c>
      <c r="X5" s="1729">
        <f>ROUND(SUMPRODUCT(PRODUCT(1+N5:N$21)),4)</f>
        <v>1.4274</v>
      </c>
      <c r="Y5" s="1729">
        <f>ROUND(SUMPRODUCT(PRODUCT(1+O5:O$21)),4)</f>
        <v>1.2685</v>
      </c>
      <c r="Z5" s="1729">
        <f t="shared" ref="Z5" si="11">Y5</f>
        <v>1.2685</v>
      </c>
      <c r="AA5" s="1729">
        <f>ROUND(SUMPRODUCT(PRODUCT(1+P5:P$21)),4)</f>
        <v>1.4825999999999999</v>
      </c>
      <c r="AB5" s="1729">
        <f>ROUND(SUMPRODUCT(PRODUCT(1+Q5:Q$21)),4)</f>
        <v>1.2309000000000001</v>
      </c>
      <c r="AD5" s="1471">
        <f>ROUND(AVERAGE(I5:I$22)/100,4)</f>
        <v>2.1700000000000001E-2</v>
      </c>
      <c r="AE5" s="1471">
        <f>ROUND(AVERAGE(J5:J$22)/100,4)</f>
        <v>1.46E-2</v>
      </c>
      <c r="AF5" s="1471">
        <f t="shared" ref="AF5" si="12">AE5</f>
        <v>1.46E-2</v>
      </c>
      <c r="AG5" s="1471">
        <f>ROUND(AVERAGE(K5:K$22)/100,4)</f>
        <v>2.41E-2</v>
      </c>
      <c r="AH5" s="1471">
        <f>ROUND(AVERAGE(L5:L$22)/100,4)</f>
        <v>1.24E-2</v>
      </c>
    </row>
    <row r="6" spans="1:34" s="1469" customFormat="1" ht="13.5" thickBot="1">
      <c r="A6" s="1464" t="s">
        <v>3012</v>
      </c>
      <c r="B6" s="1480">
        <f t="shared" ref="B6" si="13">B7*(1+N6)</f>
        <v>439.19121308559727</v>
      </c>
      <c r="C6" s="1480">
        <f t="shared" ref="C6" si="14">C7*(1+O6)</f>
        <v>326.28510789673351</v>
      </c>
      <c r="D6" s="1480">
        <f t="shared" ref="D6" si="15">C6</f>
        <v>326.28510789673351</v>
      </c>
      <c r="E6" s="1480">
        <f t="shared" ref="E6" si="16">E7*(1+P6)</f>
        <v>626.49404043656455</v>
      </c>
      <c r="F6" s="1480">
        <f t="shared" ref="F6" si="17">F7*(1+Q6)</f>
        <v>283.46416215500358</v>
      </c>
      <c r="G6" s="2944">
        <v>2018</v>
      </c>
      <c r="H6" s="1467">
        <v>1</v>
      </c>
      <c r="I6" s="1467">
        <v>0</v>
      </c>
      <c r="J6" s="1467">
        <v>0</v>
      </c>
      <c r="K6" s="1467">
        <v>0</v>
      </c>
      <c r="L6" s="1481">
        <v>0</v>
      </c>
      <c r="M6" s="1474"/>
      <c r="N6" s="1475">
        <f t="shared" ref="N6:N11" si="18">I6/100</f>
        <v>0</v>
      </c>
      <c r="O6" s="1476">
        <f t="shared" ref="O6" si="19">J6/100</f>
        <v>0</v>
      </c>
      <c r="P6" s="1476">
        <f t="shared" ref="P6" si="20">K6/100</f>
        <v>0</v>
      </c>
      <c r="Q6" s="1476">
        <f t="shared" ref="Q6" si="21">L6/100</f>
        <v>0</v>
      </c>
      <c r="R6" s="1477"/>
      <c r="S6" s="1475">
        <f>B6/B7-1</f>
        <v>0</v>
      </c>
      <c r="T6" s="1476">
        <f t="shared" ref="T6" si="22">C6/C7-1</f>
        <v>0</v>
      </c>
      <c r="U6" s="1476">
        <f t="shared" ref="U6" si="23">D6/D7-1</f>
        <v>0</v>
      </c>
      <c r="V6" s="1476">
        <f t="shared" ref="V6" si="24">E6/E7-1</f>
        <v>0</v>
      </c>
      <c r="W6" s="1793"/>
      <c r="X6" s="1791">
        <f>ROUND(SUMPRODUCT(PRODUCT(1+N6:N$21)),4)</f>
        <v>1.4274</v>
      </c>
      <c r="Y6" s="1791">
        <f>ROUND(SUMPRODUCT(PRODUCT(1+O6:O$21)),4)</f>
        <v>1.2685</v>
      </c>
      <c r="Z6" s="1791">
        <f t="shared" ref="Z6" si="25">Y6</f>
        <v>1.2685</v>
      </c>
      <c r="AA6" s="1791">
        <f>ROUND(SUMPRODUCT(PRODUCT(1+P6:P$21)),4)</f>
        <v>1.4825999999999999</v>
      </c>
      <c r="AB6" s="1791">
        <f>ROUND(SUMPRODUCT(PRODUCT(1+Q6:Q$21)),4)</f>
        <v>1.2309000000000001</v>
      </c>
      <c r="AC6" s="1793"/>
      <c r="AD6" s="1792">
        <f>ROUND(AVERAGE(I6:I$22)/100,4)</f>
        <v>2.3E-2</v>
      </c>
      <c r="AE6" s="1792">
        <f>ROUND(AVERAGE(J6:J$22)/100,4)</f>
        <v>1.55E-2</v>
      </c>
      <c r="AF6" s="1792">
        <f t="shared" ref="AF6" si="26">AE6</f>
        <v>1.55E-2</v>
      </c>
      <c r="AG6" s="1792">
        <f>ROUND(AVERAGE(K6:K$22)/100,4)</f>
        <v>2.5499999999999998E-2</v>
      </c>
      <c r="AH6" s="1792">
        <f>ROUND(AVERAGE(L6:L$22)/100,4)</f>
        <v>1.3100000000000001E-2</v>
      </c>
    </row>
    <row r="7" spans="1:34">
      <c r="A7" s="1464" t="s">
        <v>3009</v>
      </c>
      <c r="B7" s="1472">
        <f t="shared" ref="B7" si="27">B8*(1+N7)</f>
        <v>439.19121308559727</v>
      </c>
      <c r="C7" s="1472">
        <f t="shared" ref="C7" si="28">C8*(1+O7)</f>
        <v>326.28510789673351</v>
      </c>
      <c r="D7" s="1472">
        <f t="shared" ref="D7" si="29">C7</f>
        <v>326.28510789673351</v>
      </c>
      <c r="E7" s="1472">
        <f t="shared" ref="E7" si="30">E8*(1+P7)</f>
        <v>626.49404043656455</v>
      </c>
      <c r="F7" s="1473">
        <f t="shared" ref="F7" si="31">F8*(1+Q7)</f>
        <v>283.46416215500358</v>
      </c>
      <c r="G7" s="2930">
        <v>2017</v>
      </c>
      <c r="H7" s="1465">
        <v>4</v>
      </c>
      <c r="I7" s="1465">
        <v>1.71</v>
      </c>
      <c r="J7" s="1465">
        <v>1.78</v>
      </c>
      <c r="K7" s="1465">
        <v>1.71</v>
      </c>
      <c r="L7" s="1466">
        <v>1.43</v>
      </c>
      <c r="N7" s="1475">
        <f t="shared" si="18"/>
        <v>1.7100000000000001E-2</v>
      </c>
      <c r="O7" s="1476">
        <f t="shared" ref="O7" si="32">J7/100</f>
        <v>1.78E-2</v>
      </c>
      <c r="P7" s="1476">
        <f t="shared" ref="P7" si="33">K7/100</f>
        <v>1.7100000000000001E-2</v>
      </c>
      <c r="Q7" s="1476">
        <f t="shared" ref="Q7" si="34">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3010</v>
      </c>
      <c r="B8" s="1480">
        <f t="shared" ref="B8:B9" si="35">B9*(1+N8)</f>
        <v>431.80730811680002</v>
      </c>
      <c r="C8" s="1480">
        <f t="shared" ref="C8:C9" si="36">C9*(1+O8)</f>
        <v>320.57880516480003</v>
      </c>
      <c r="D8" s="1480">
        <f t="shared" ref="D8:D9" si="37">C8</f>
        <v>320.57880516480003</v>
      </c>
      <c r="E8" s="1480">
        <f t="shared" ref="E8:E9" si="38">E9*(1+P8)</f>
        <v>615.96110553196797</v>
      </c>
      <c r="F8" s="1480">
        <f t="shared" ref="F8:F9" si="39">F9*(1+Q8)</f>
        <v>279.46777300108801</v>
      </c>
      <c r="G8" s="2926"/>
      <c r="H8" s="1467">
        <v>3</v>
      </c>
      <c r="I8" s="1467">
        <v>2.98</v>
      </c>
      <c r="J8" s="1467">
        <v>2.11</v>
      </c>
      <c r="K8" s="1467">
        <v>3.24</v>
      </c>
      <c r="L8" s="1481">
        <v>1.72</v>
      </c>
      <c r="M8" s="1474"/>
      <c r="N8" s="1475">
        <f t="shared" si="18"/>
        <v>2.98E-2</v>
      </c>
      <c r="O8" s="1476">
        <f t="shared" ref="O8" si="40">J8/100</f>
        <v>2.1099999999999997E-2</v>
      </c>
      <c r="P8" s="1476">
        <f t="shared" ref="P8" si="41">K8/100</f>
        <v>3.2400000000000005E-2</v>
      </c>
      <c r="Q8" s="1476">
        <f t="shared" ref="Q8" si="42">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1385</v>
      </c>
      <c r="B9" s="1480">
        <f t="shared" si="35"/>
        <v>419.31181600000002</v>
      </c>
      <c r="C9" s="1480">
        <f t="shared" si="36"/>
        <v>313.95436800000004</v>
      </c>
      <c r="D9" s="1480">
        <f t="shared" si="37"/>
        <v>313.95436800000004</v>
      </c>
      <c r="E9" s="1480">
        <f t="shared" si="38"/>
        <v>596.63028431999999</v>
      </c>
      <c r="F9" s="1480">
        <f t="shared" si="39"/>
        <v>274.74220703999998</v>
      </c>
      <c r="G9" s="2925"/>
      <c r="H9" s="1468">
        <v>2</v>
      </c>
      <c r="I9" s="1468">
        <v>3.4</v>
      </c>
      <c r="J9" s="1468">
        <v>2</v>
      </c>
      <c r="K9" s="1468">
        <v>3.82</v>
      </c>
      <c r="L9" s="1482">
        <v>1.68</v>
      </c>
      <c r="M9" s="1474"/>
      <c r="N9" s="1475">
        <f t="shared" si="18"/>
        <v>3.4000000000000002E-2</v>
      </c>
      <c r="O9" s="1476">
        <f t="shared" ref="O9" si="43">J9/100</f>
        <v>0.02</v>
      </c>
      <c r="P9" s="1476">
        <f t="shared" ref="P9" si="44">K9/100</f>
        <v>3.8199999999999998E-2</v>
      </c>
      <c r="Q9" s="1476">
        <f t="shared" ref="Q9" si="45">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1160</v>
      </c>
      <c r="B10" s="1480">
        <f>B11*(1+N10)</f>
        <v>405.524</v>
      </c>
      <c r="C10" s="1480">
        <f>C11*(1+O10)</f>
        <v>307.79840000000002</v>
      </c>
      <c r="D10" s="1480">
        <f>C10</f>
        <v>307.79840000000002</v>
      </c>
      <c r="E10" s="1480">
        <f>E11*(1+P10)</f>
        <v>574.67759999999998</v>
      </c>
      <c r="F10" s="1480">
        <f>F11*(1+Q10)</f>
        <v>270.20280000000002</v>
      </c>
      <c r="G10" s="2926"/>
      <c r="H10" s="1467">
        <v>1</v>
      </c>
      <c r="I10" s="1467">
        <v>3.45</v>
      </c>
      <c r="J10" s="1467">
        <v>1.92</v>
      </c>
      <c r="K10" s="1467">
        <v>3.92</v>
      </c>
      <c r="L10" s="1481">
        <v>1.58</v>
      </c>
      <c r="M10" s="1474"/>
      <c r="N10" s="1475">
        <f t="shared" si="18"/>
        <v>3.4500000000000003E-2</v>
      </c>
      <c r="O10" s="1476">
        <f t="shared" ref="O10:Q25" si="46">J10/100</f>
        <v>1.9199999999999998E-2</v>
      </c>
      <c r="P10" s="1476">
        <f t="shared" si="46"/>
        <v>3.9199999999999999E-2</v>
      </c>
      <c r="Q10" s="1476">
        <f t="shared" si="46"/>
        <v>1.5800000000000002E-2</v>
      </c>
      <c r="R10" s="1477"/>
      <c r="S10" s="1475">
        <f>B10/B11-1</f>
        <v>3.4499999999999975E-2</v>
      </c>
      <c r="T10" s="1476">
        <f t="shared" ref="T10:V10" si="47">C10/C11-1</f>
        <v>1.9200000000000106E-2</v>
      </c>
      <c r="U10" s="1476">
        <f t="shared" si="47"/>
        <v>1.9200000000000106E-2</v>
      </c>
      <c r="V10" s="1476">
        <f t="shared" si="47"/>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153</v>
      </c>
      <c r="B11" s="1472">
        <v>392</v>
      </c>
      <c r="C11" s="1472">
        <v>302</v>
      </c>
      <c r="D11" s="1472">
        <f>C11</f>
        <v>302</v>
      </c>
      <c r="E11" s="1472">
        <v>553</v>
      </c>
      <c r="F11" s="1473">
        <v>266</v>
      </c>
      <c r="G11" s="3265">
        <v>2016</v>
      </c>
      <c r="H11" s="1465">
        <v>4</v>
      </c>
      <c r="I11" s="1465">
        <v>4.5599999999999996</v>
      </c>
      <c r="J11" s="1465">
        <v>2.15</v>
      </c>
      <c r="K11" s="1465">
        <v>5.32</v>
      </c>
      <c r="L11" s="1466">
        <v>1.57</v>
      </c>
      <c r="N11" s="1475">
        <f t="shared" si="18"/>
        <v>4.5599999999999995E-2</v>
      </c>
      <c r="O11" s="1476">
        <f t="shared" si="46"/>
        <v>2.1499999999999998E-2</v>
      </c>
      <c r="P11" s="1476">
        <f t="shared" si="46"/>
        <v>5.3200000000000004E-2</v>
      </c>
      <c r="Q11" s="1476">
        <f t="shared" si="46"/>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152</v>
      </c>
      <c r="B12" s="1480">
        <f t="shared" ref="B12:C14" si="48">B11/(1+N11)</f>
        <v>374.90436113236416</v>
      </c>
      <c r="C12" s="1480">
        <f t="shared" si="48"/>
        <v>295.64366128242779</v>
      </c>
      <c r="D12" s="1480">
        <f t="shared" ref="D12:D71" si="49">C12</f>
        <v>295.64366128242779</v>
      </c>
      <c r="E12" s="1480">
        <f t="shared" ref="E12:F14" si="50">E11/(1+P11)</f>
        <v>525.06646410938095</v>
      </c>
      <c r="F12" s="1480">
        <f t="shared" si="50"/>
        <v>261.88835286009646</v>
      </c>
      <c r="G12" s="3260"/>
      <c r="H12" s="1467">
        <v>3</v>
      </c>
      <c r="I12" s="1467">
        <v>4.12</v>
      </c>
      <c r="J12" s="1467">
        <v>2</v>
      </c>
      <c r="K12" s="1467">
        <v>4.79</v>
      </c>
      <c r="L12" s="1481">
        <v>1.97</v>
      </c>
      <c r="N12" s="1475">
        <f t="shared" ref="N12:Q46" si="51">I12/100</f>
        <v>4.1200000000000001E-2</v>
      </c>
      <c r="O12" s="1476">
        <f t="shared" si="46"/>
        <v>0.02</v>
      </c>
      <c r="P12" s="1476">
        <f t="shared" si="46"/>
        <v>4.7899999999999998E-2</v>
      </c>
      <c r="Q12" s="1476">
        <f t="shared" si="46"/>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142</v>
      </c>
      <c r="B13" s="1480">
        <f t="shared" si="48"/>
        <v>360.06949782209392</v>
      </c>
      <c r="C13" s="1480">
        <f t="shared" si="48"/>
        <v>289.84672674747821</v>
      </c>
      <c r="D13" s="1480">
        <f t="shared" si="49"/>
        <v>289.84672674747821</v>
      </c>
      <c r="E13" s="1480">
        <f t="shared" si="50"/>
        <v>501.06543001181495</v>
      </c>
      <c r="F13" s="1480">
        <f t="shared" si="50"/>
        <v>256.82882500744967</v>
      </c>
      <c r="G13" s="3260"/>
      <c r="H13" s="1468">
        <v>2</v>
      </c>
      <c r="I13" s="1468">
        <v>3.85</v>
      </c>
      <c r="J13" s="1468">
        <v>1.95</v>
      </c>
      <c r="K13" s="1468">
        <v>4.4800000000000004</v>
      </c>
      <c r="L13" s="1482">
        <v>1.41</v>
      </c>
      <c r="N13" s="1475">
        <f t="shared" si="51"/>
        <v>3.85E-2</v>
      </c>
      <c r="O13" s="1476">
        <f t="shared" si="46"/>
        <v>1.95E-2</v>
      </c>
      <c r="P13" s="1476">
        <f t="shared" si="46"/>
        <v>4.4800000000000006E-2</v>
      </c>
      <c r="Q13" s="1476">
        <f t="shared" si="46"/>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151</v>
      </c>
      <c r="B14" s="1480">
        <f t="shared" si="48"/>
        <v>346.720748986128</v>
      </c>
      <c r="C14" s="1480">
        <f t="shared" si="48"/>
        <v>284.30282172386285</v>
      </c>
      <c r="D14" s="1480">
        <f t="shared" si="49"/>
        <v>284.30282172386285</v>
      </c>
      <c r="E14" s="1480">
        <f t="shared" si="50"/>
        <v>479.58023546306947</v>
      </c>
      <c r="F14" s="1480">
        <f t="shared" si="50"/>
        <v>253.25788877571213</v>
      </c>
      <c r="G14" s="3261"/>
      <c r="H14" s="1467">
        <v>1</v>
      </c>
      <c r="I14" s="1467">
        <v>4.09</v>
      </c>
      <c r="J14" s="1467">
        <v>2.93</v>
      </c>
      <c r="K14" s="1467">
        <v>4.54</v>
      </c>
      <c r="L14" s="1481">
        <v>1.48</v>
      </c>
      <c r="N14" s="1475">
        <f t="shared" si="51"/>
        <v>4.0899999999999999E-2</v>
      </c>
      <c r="O14" s="1476">
        <f t="shared" si="46"/>
        <v>2.9300000000000003E-2</v>
      </c>
      <c r="P14" s="1476">
        <f t="shared" si="46"/>
        <v>4.5400000000000003E-2</v>
      </c>
      <c r="Q14" s="1476">
        <f t="shared" si="46"/>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150</v>
      </c>
      <c r="B15" s="1472">
        <v>333</v>
      </c>
      <c r="C15" s="1472">
        <v>277</v>
      </c>
      <c r="D15" s="1472">
        <f t="shared" si="49"/>
        <v>277</v>
      </c>
      <c r="E15" s="1472">
        <v>459</v>
      </c>
      <c r="F15" s="1473">
        <v>249</v>
      </c>
      <c r="G15" s="3259">
        <v>2015</v>
      </c>
      <c r="H15" s="1485">
        <v>4</v>
      </c>
      <c r="I15" s="1485">
        <v>1.63</v>
      </c>
      <c r="J15" s="1485">
        <v>1.1100000000000001</v>
      </c>
      <c r="K15" s="1485">
        <v>1.77</v>
      </c>
      <c r="L15" s="1486">
        <v>1.89</v>
      </c>
      <c r="N15" s="1487">
        <f t="shared" si="51"/>
        <v>1.6299999999999999E-2</v>
      </c>
      <c r="O15" s="1488">
        <f t="shared" si="46"/>
        <v>1.11E-2</v>
      </c>
      <c r="P15" s="1488">
        <f t="shared" si="46"/>
        <v>1.77E-2</v>
      </c>
      <c r="Q15" s="1488">
        <f t="shared" si="46"/>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149</v>
      </c>
      <c r="B16" s="1480">
        <f t="shared" ref="B16:C18" si="52">B15/(1+N15)</f>
        <v>327.65915576109415</v>
      </c>
      <c r="C16" s="1480">
        <f t="shared" si="52"/>
        <v>273.95905449510434</v>
      </c>
      <c r="D16" s="1480">
        <f t="shared" si="49"/>
        <v>273.95905449510434</v>
      </c>
      <c r="E16" s="1480">
        <f t="shared" ref="E16:F18" si="53">E15/(1+P15)</f>
        <v>451.01699911565294</v>
      </c>
      <c r="F16" s="1480">
        <f t="shared" si="53"/>
        <v>244.38119540681129</v>
      </c>
      <c r="G16" s="3260"/>
      <c r="H16" s="1490">
        <v>3</v>
      </c>
      <c r="I16" s="1490">
        <v>1.65</v>
      </c>
      <c r="J16" s="1490">
        <v>0.92</v>
      </c>
      <c r="K16" s="1490">
        <v>1.88</v>
      </c>
      <c r="L16" s="1491">
        <v>1.26</v>
      </c>
      <c r="N16" s="1475">
        <f t="shared" si="51"/>
        <v>1.6500000000000001E-2</v>
      </c>
      <c r="O16" s="1492">
        <f t="shared" si="46"/>
        <v>9.1999999999999998E-3</v>
      </c>
      <c r="P16" s="1492">
        <f t="shared" si="46"/>
        <v>1.8799999999999997E-2</v>
      </c>
      <c r="Q16" s="1492">
        <f t="shared" si="46"/>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148</v>
      </c>
      <c r="B17" s="1480">
        <f t="shared" si="52"/>
        <v>322.34053690220776</v>
      </c>
      <c r="C17" s="1480">
        <f t="shared" si="52"/>
        <v>271.46160770422546</v>
      </c>
      <c r="D17" s="1480">
        <f t="shared" si="49"/>
        <v>271.46160770422546</v>
      </c>
      <c r="E17" s="1480">
        <f t="shared" si="53"/>
        <v>442.69434542172456</v>
      </c>
      <c r="F17" s="1480">
        <f t="shared" si="53"/>
        <v>241.34030753190925</v>
      </c>
      <c r="G17" s="3260"/>
      <c r="H17" s="1468">
        <v>2</v>
      </c>
      <c r="I17" s="1468">
        <v>0.77</v>
      </c>
      <c r="J17" s="1468">
        <v>0.69</v>
      </c>
      <c r="K17" s="1468">
        <v>0.8</v>
      </c>
      <c r="L17" s="1482">
        <v>0.88</v>
      </c>
      <c r="N17" s="1475">
        <f t="shared" si="51"/>
        <v>7.7000000000000002E-3</v>
      </c>
      <c r="O17" s="1492">
        <f t="shared" si="46"/>
        <v>6.8999999999999999E-3</v>
      </c>
      <c r="P17" s="1492">
        <f t="shared" si="46"/>
        <v>8.0000000000000002E-3</v>
      </c>
      <c r="Q17" s="1492">
        <f t="shared" si="46"/>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147</v>
      </c>
      <c r="B18" s="1480">
        <f t="shared" si="52"/>
        <v>319.87748030386797</v>
      </c>
      <c r="C18" s="1480">
        <f t="shared" si="52"/>
        <v>269.60135833173649</v>
      </c>
      <c r="D18" s="1480">
        <f t="shared" si="49"/>
        <v>269.60135833173649</v>
      </c>
      <c r="E18" s="1480">
        <f t="shared" si="53"/>
        <v>439.18089823583784</v>
      </c>
      <c r="F18" s="1480">
        <f t="shared" si="53"/>
        <v>239.23503918706311</v>
      </c>
      <c r="G18" s="3261"/>
      <c r="H18" s="1467">
        <v>1</v>
      </c>
      <c r="I18" s="1467">
        <v>0.51</v>
      </c>
      <c r="J18" s="1467">
        <v>0.54</v>
      </c>
      <c r="K18" s="1467">
        <v>0.48</v>
      </c>
      <c r="L18" s="1481">
        <v>0.93</v>
      </c>
      <c r="N18" s="1483">
        <f t="shared" si="51"/>
        <v>5.1000000000000004E-3</v>
      </c>
      <c r="O18" s="1484">
        <f t="shared" si="46"/>
        <v>5.4000000000000003E-3</v>
      </c>
      <c r="P18" s="1484">
        <f t="shared" si="46"/>
        <v>4.7999999999999996E-3</v>
      </c>
      <c r="Q18" s="1484">
        <f t="shared" si="46"/>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146</v>
      </c>
      <c r="B19" s="1493">
        <v>318</v>
      </c>
      <c r="C19" s="1493">
        <v>268</v>
      </c>
      <c r="D19" s="1493">
        <f t="shared" si="49"/>
        <v>268</v>
      </c>
      <c r="E19" s="1493">
        <v>437</v>
      </c>
      <c r="F19" s="1494">
        <v>237</v>
      </c>
      <c r="G19" s="3259">
        <v>2014</v>
      </c>
      <c r="H19" s="1485">
        <v>4</v>
      </c>
      <c r="I19" s="1485">
        <v>0.21</v>
      </c>
      <c r="J19" s="1485">
        <v>0.41</v>
      </c>
      <c r="K19" s="1485">
        <v>0.12</v>
      </c>
      <c r="L19" s="1486">
        <v>0.89</v>
      </c>
      <c r="N19" s="1475">
        <f t="shared" si="51"/>
        <v>2.0999999999999999E-3</v>
      </c>
      <c r="O19" s="1476">
        <f t="shared" si="46"/>
        <v>4.0999999999999995E-3</v>
      </c>
      <c r="P19" s="1476">
        <f t="shared" si="46"/>
        <v>1.1999999999999999E-3</v>
      </c>
      <c r="Q19" s="1476">
        <f t="shared" si="46"/>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145</v>
      </c>
      <c r="B20" s="1480">
        <f t="shared" ref="B20:C22" si="54">B19/(1+N19)</f>
        <v>317.33359944117353</v>
      </c>
      <c r="C20" s="1480">
        <f t="shared" si="54"/>
        <v>266.90568668459315</v>
      </c>
      <c r="D20" s="1480">
        <f t="shared" si="49"/>
        <v>266.90568668459315</v>
      </c>
      <c r="E20" s="1480">
        <f t="shared" ref="E20:F22" si="55">E19/(1+P19)</f>
        <v>436.47622852576905</v>
      </c>
      <c r="F20" s="1480">
        <f t="shared" si="55"/>
        <v>234.90930716622066</v>
      </c>
      <c r="G20" s="3260"/>
      <c r="H20" s="1495">
        <v>3</v>
      </c>
      <c r="I20" s="1495">
        <v>0.83</v>
      </c>
      <c r="J20" s="1495">
        <v>1.47</v>
      </c>
      <c r="K20" s="1495">
        <v>0.65</v>
      </c>
      <c r="L20" s="1496">
        <v>0.72</v>
      </c>
      <c r="N20" s="1475">
        <f t="shared" si="51"/>
        <v>8.3000000000000001E-3</v>
      </c>
      <c r="O20" s="1476">
        <f t="shared" si="46"/>
        <v>1.47E-2</v>
      </c>
      <c r="P20" s="1476">
        <f t="shared" si="46"/>
        <v>6.5000000000000006E-3</v>
      </c>
      <c r="Q20" s="1476">
        <f t="shared" si="46"/>
        <v>7.1999999999999998E-3</v>
      </c>
      <c r="R20" s="1477"/>
      <c r="S20" s="1475"/>
      <c r="T20" s="1476"/>
      <c r="U20" s="1476"/>
      <c r="V20" s="1476"/>
      <c r="X20" s="1462">
        <f>ROUND(SUMPRODUCT(PRODUCT(1+N20:N$21)),4)</f>
        <v>1.0325</v>
      </c>
      <c r="Y20" s="1462">
        <f>ROUND(SUMPRODUCT(PRODUCT(1+O20:O$21)),4)</f>
        <v>1.0353000000000001</v>
      </c>
      <c r="Z20" s="1462">
        <f t="shared" ref="Z20:Z21" si="56">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144</v>
      </c>
      <c r="B21" s="1480">
        <f t="shared" si="54"/>
        <v>314.72141172386546</v>
      </c>
      <c r="C21" s="1480">
        <f t="shared" si="54"/>
        <v>263.03901319069001</v>
      </c>
      <c r="D21" s="1480">
        <f t="shared" si="49"/>
        <v>263.03901319069001</v>
      </c>
      <c r="E21" s="1480">
        <f t="shared" si="55"/>
        <v>433.65745506782821</v>
      </c>
      <c r="F21" s="1480">
        <f t="shared" si="55"/>
        <v>233.23005080045735</v>
      </c>
      <c r="G21" s="3260"/>
      <c r="H21" s="1485">
        <v>2</v>
      </c>
      <c r="I21" s="1485">
        <v>2.4</v>
      </c>
      <c r="J21" s="1485">
        <v>2.0299999999999998</v>
      </c>
      <c r="K21" s="1485">
        <v>2.59</v>
      </c>
      <c r="L21" s="1486">
        <v>1.52</v>
      </c>
      <c r="N21" s="1475">
        <f t="shared" si="51"/>
        <v>2.4E-2</v>
      </c>
      <c r="O21" s="1476">
        <f t="shared" si="46"/>
        <v>2.0299999999999999E-2</v>
      </c>
      <c r="P21" s="1476">
        <f t="shared" si="46"/>
        <v>2.5899999999999999E-2</v>
      </c>
      <c r="Q21" s="1476">
        <f t="shared" si="46"/>
        <v>1.52E-2</v>
      </c>
      <c r="R21" s="1477"/>
      <c r="S21" s="1475"/>
      <c r="T21" s="1476"/>
      <c r="U21" s="1476"/>
      <c r="V21" s="1476"/>
      <c r="X21" s="1462">
        <f>1+N21</f>
        <v>1.024</v>
      </c>
      <c r="Y21" s="1462">
        <f>1+O21</f>
        <v>1.0203</v>
      </c>
      <c r="Z21" s="1462">
        <f t="shared" si="56"/>
        <v>1.0203</v>
      </c>
      <c r="AA21" s="1462">
        <f>1+P21</f>
        <v>1.0259</v>
      </c>
      <c r="AB21" s="1462">
        <f>1+Q21</f>
        <v>1.0152000000000001</v>
      </c>
      <c r="AD21" s="1463">
        <f>ROUND(AVERAGE(I21:I$22)/100,4)</f>
        <v>2.69E-2</v>
      </c>
      <c r="AE21" s="1463">
        <f>ROUND(AVERAGE(J21:J$22)/100,4)</f>
        <v>2.1899999999999999E-2</v>
      </c>
      <c r="AF21" s="1463">
        <f t="shared" ref="AF21" si="57">AE21</f>
        <v>2.1899999999999999E-2</v>
      </c>
      <c r="AG21" s="1463">
        <f>ROUND(AVERAGE(K21:K$22)/100,4)</f>
        <v>2.9399999999999999E-2</v>
      </c>
      <c r="AH21" s="1463">
        <f>ROUND(AVERAGE(L21:L$22)/100,4)</f>
        <v>1.44E-2</v>
      </c>
    </row>
    <row r="22" spans="1:34" s="1501" customFormat="1" ht="13.5" thickBot="1">
      <c r="A22" s="1497" t="s">
        <v>143</v>
      </c>
      <c r="B22" s="1498">
        <f t="shared" si="54"/>
        <v>307.34512863658733</v>
      </c>
      <c r="C22" s="1498">
        <f t="shared" si="54"/>
        <v>257.80556031626975</v>
      </c>
      <c r="D22" s="1498">
        <f t="shared" si="49"/>
        <v>257.80556031626975</v>
      </c>
      <c r="E22" s="1498">
        <f t="shared" si="55"/>
        <v>422.70928459677179</v>
      </c>
      <c r="F22" s="1498">
        <f t="shared" si="55"/>
        <v>229.73803270336617</v>
      </c>
      <c r="G22" s="3261"/>
      <c r="H22" s="1499">
        <v>1</v>
      </c>
      <c r="I22" s="1499">
        <v>2.97</v>
      </c>
      <c r="J22" s="1499">
        <v>2.34</v>
      </c>
      <c r="K22" s="1499">
        <v>3.28</v>
      </c>
      <c r="L22" s="1500">
        <v>1.36</v>
      </c>
      <c r="N22" s="1502">
        <f t="shared" si="51"/>
        <v>2.9700000000000001E-2</v>
      </c>
      <c r="O22" s="1503">
        <f t="shared" si="46"/>
        <v>2.3399999999999997E-2</v>
      </c>
      <c r="P22" s="1503">
        <f t="shared" si="46"/>
        <v>3.2799999999999996E-2</v>
      </c>
      <c r="Q22" s="1503">
        <f t="shared" si="46"/>
        <v>1.3600000000000001E-2</v>
      </c>
      <c r="R22" s="1504"/>
      <c r="S22" s="1505">
        <f>B22/B23-1</f>
        <v>2.7910129219355539E-2</v>
      </c>
      <c r="T22" s="1506">
        <f>C22/C23-1</f>
        <v>2.3037937762975247E-2</v>
      </c>
      <c r="U22" s="1506">
        <f>E22/E23-1</f>
        <v>3.3519033243940788E-2</v>
      </c>
      <c r="V22" s="1506">
        <f>F22/F23-1</f>
        <v>1.2061818076502862E-2</v>
      </c>
      <c r="W22" s="1507" t="s">
        <v>1161</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1162</v>
      </c>
      <c r="B23" s="1472">
        <v>299</v>
      </c>
      <c r="C23" s="1472">
        <v>252</v>
      </c>
      <c r="D23" s="1472">
        <f t="shared" si="49"/>
        <v>252</v>
      </c>
      <c r="E23" s="1472">
        <v>409</v>
      </c>
      <c r="F23" s="1473">
        <v>227</v>
      </c>
      <c r="G23" s="3266">
        <v>2013</v>
      </c>
      <c r="H23" s="1509">
        <v>4</v>
      </c>
      <c r="I23" s="1509">
        <v>1.83</v>
      </c>
      <c r="J23" s="1509">
        <v>1.68</v>
      </c>
      <c r="K23" s="1509">
        <v>1.97</v>
      </c>
      <c r="L23" s="1510">
        <v>0.87</v>
      </c>
      <c r="N23" s="1487">
        <f t="shared" si="51"/>
        <v>1.83E-2</v>
      </c>
      <c r="O23" s="1488">
        <f t="shared" si="46"/>
        <v>1.6799999999999999E-2</v>
      </c>
      <c r="P23" s="1488">
        <f t="shared" si="46"/>
        <v>1.9699999999999999E-2</v>
      </c>
      <c r="Q23" s="1488">
        <f t="shared" si="46"/>
        <v>8.6999999999999994E-3</v>
      </c>
      <c r="R23" s="1477"/>
      <c r="S23" s="1478"/>
      <c r="T23" s="1479"/>
      <c r="U23" s="1479"/>
      <c r="V23" s="1479"/>
      <c r="X23" s="1479"/>
      <c r="Y23" s="1479"/>
      <c r="Z23" s="1479"/>
    </row>
    <row r="24" spans="1:34">
      <c r="A24" s="1464" t="s">
        <v>1163</v>
      </c>
      <c r="B24" s="1480">
        <f t="shared" ref="B24:C26" si="58">B23/(1+N23)</f>
        <v>293.62663262299913</v>
      </c>
      <c r="C24" s="1480">
        <f t="shared" si="58"/>
        <v>247.83634933123525</v>
      </c>
      <c r="D24" s="1480">
        <f t="shared" si="49"/>
        <v>247.83634933123525</v>
      </c>
      <c r="E24" s="1480">
        <f t="shared" ref="E24:F26" si="59">E23/(1+P23)</f>
        <v>401.09836226341076</v>
      </c>
      <c r="F24" s="1480">
        <f t="shared" si="59"/>
        <v>225.04213343908003</v>
      </c>
      <c r="G24" s="3267"/>
      <c r="H24" s="1490">
        <v>3</v>
      </c>
      <c r="I24" s="1490">
        <v>1.86</v>
      </c>
      <c r="J24" s="1490">
        <v>1.72</v>
      </c>
      <c r="K24" s="1490">
        <v>1.98</v>
      </c>
      <c r="L24" s="1491">
        <v>0.88</v>
      </c>
      <c r="N24" s="1475">
        <f t="shared" si="51"/>
        <v>1.8600000000000002E-2</v>
      </c>
      <c r="O24" s="1492">
        <f t="shared" si="46"/>
        <v>1.72E-2</v>
      </c>
      <c r="P24" s="1492">
        <f t="shared" si="46"/>
        <v>1.9799999999999998E-2</v>
      </c>
      <c r="Q24" s="1492">
        <f t="shared" si="46"/>
        <v>8.8000000000000005E-3</v>
      </c>
      <c r="R24" s="1477"/>
      <c r="S24" s="1475"/>
      <c r="T24" s="1476"/>
      <c r="U24" s="1476"/>
      <c r="V24" s="1476"/>
    </row>
    <row r="25" spans="1:34">
      <c r="A25" s="1464" t="s">
        <v>1164</v>
      </c>
      <c r="B25" s="1480">
        <f t="shared" si="58"/>
        <v>288.2649053828776</v>
      </c>
      <c r="C25" s="1480">
        <f t="shared" si="58"/>
        <v>243.64564425013293</v>
      </c>
      <c r="D25" s="1480">
        <f t="shared" si="49"/>
        <v>243.64564425013293</v>
      </c>
      <c r="E25" s="1480">
        <f t="shared" si="59"/>
        <v>393.31080825986544</v>
      </c>
      <c r="F25" s="1480">
        <f t="shared" si="59"/>
        <v>223.07903790551154</v>
      </c>
      <c r="G25" s="3267"/>
      <c r="H25" s="1468">
        <v>2</v>
      </c>
      <c r="I25" s="1468">
        <v>2.04</v>
      </c>
      <c r="J25" s="1468">
        <v>2.33</v>
      </c>
      <c r="K25" s="1468">
        <v>2.0699999999999998</v>
      </c>
      <c r="L25" s="1482">
        <v>0.69</v>
      </c>
      <c r="N25" s="1475">
        <f t="shared" si="51"/>
        <v>2.0400000000000001E-2</v>
      </c>
      <c r="O25" s="1492">
        <f t="shared" si="46"/>
        <v>2.3300000000000001E-2</v>
      </c>
      <c r="P25" s="1492">
        <f t="shared" si="46"/>
        <v>2.07E-2</v>
      </c>
      <c r="Q25" s="1492">
        <f t="shared" si="46"/>
        <v>6.8999999999999999E-3</v>
      </c>
      <c r="R25" s="1477"/>
      <c r="S25" s="1475"/>
      <c r="T25" s="1476"/>
      <c r="U25" s="1476"/>
      <c r="V25" s="1476"/>
      <c r="X25" s="1511"/>
      <c r="Y25" s="1512"/>
    </row>
    <row r="26" spans="1:34">
      <c r="A26" s="1464" t="s">
        <v>1165</v>
      </c>
      <c r="B26" s="1480">
        <f t="shared" si="58"/>
        <v>282.50186729015837</v>
      </c>
      <c r="C26" s="1480">
        <f t="shared" si="58"/>
        <v>238.09796174155468</v>
      </c>
      <c r="D26" s="1480">
        <f t="shared" si="49"/>
        <v>238.09796174155468</v>
      </c>
      <c r="E26" s="1480">
        <f t="shared" si="59"/>
        <v>385.33438646014054</v>
      </c>
      <c r="F26" s="1480">
        <f t="shared" si="59"/>
        <v>221.55034055567739</v>
      </c>
      <c r="G26" s="3268"/>
      <c r="H26" s="1467">
        <v>1</v>
      </c>
      <c r="I26" s="1467">
        <v>1.67</v>
      </c>
      <c r="J26" s="1467">
        <v>1.31</v>
      </c>
      <c r="K26" s="1467">
        <v>1.85</v>
      </c>
      <c r="L26" s="1481">
        <v>0.96</v>
      </c>
      <c r="N26" s="1483">
        <f t="shared" si="51"/>
        <v>1.67E-2</v>
      </c>
      <c r="O26" s="1484">
        <f t="shared" si="51"/>
        <v>1.3100000000000001E-2</v>
      </c>
      <c r="P26" s="1484">
        <f t="shared" si="51"/>
        <v>1.8500000000000003E-2</v>
      </c>
      <c r="Q26" s="1484">
        <f t="shared" si="51"/>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1166</v>
      </c>
      <c r="B27" s="1514">
        <v>278</v>
      </c>
      <c r="C27" s="1514">
        <v>234</v>
      </c>
      <c r="D27" s="1514">
        <f t="shared" si="49"/>
        <v>234</v>
      </c>
      <c r="E27" s="1514">
        <v>379</v>
      </c>
      <c r="F27" s="1515">
        <v>220</v>
      </c>
      <c r="G27" s="3259">
        <v>2012</v>
      </c>
      <c r="H27" s="1485">
        <v>4</v>
      </c>
      <c r="I27" s="1485">
        <v>0.91</v>
      </c>
      <c r="J27" s="1485">
        <v>0.68</v>
      </c>
      <c r="K27" s="1485">
        <v>0.98</v>
      </c>
      <c r="L27" s="1486">
        <v>0.9</v>
      </c>
      <c r="N27" s="1475">
        <f t="shared" si="51"/>
        <v>9.1000000000000004E-3</v>
      </c>
      <c r="O27" s="1476">
        <f t="shared" si="51"/>
        <v>6.8000000000000005E-3</v>
      </c>
      <c r="P27" s="1476">
        <f t="shared" si="51"/>
        <v>9.7999999999999997E-3</v>
      </c>
      <c r="Q27" s="1476">
        <f t="shared" si="51"/>
        <v>9.0000000000000011E-3</v>
      </c>
      <c r="R27" s="1477"/>
      <c r="S27" s="1478"/>
      <c r="T27" s="1479"/>
      <c r="U27" s="1479"/>
      <c r="V27" s="1479"/>
      <c r="X27" s="1479"/>
      <c r="Y27" s="1479"/>
      <c r="Z27" s="1479"/>
    </row>
    <row r="28" spans="1:34">
      <c r="A28" s="1464" t="s">
        <v>1167</v>
      </c>
      <c r="B28" s="1480">
        <f>B27/(1+N27)</f>
        <v>275.49301357645425</v>
      </c>
      <c r="C28" s="1480">
        <f>C27/(1+O27)</f>
        <v>232.41954707985698</v>
      </c>
      <c r="D28" s="1480">
        <f t="shared" si="49"/>
        <v>232.41954707985698</v>
      </c>
      <c r="E28" s="1480">
        <f t="shared" ref="E28:F30" si="60">E27/(1+P27)</f>
        <v>375.32184591008121</v>
      </c>
      <c r="F28" s="1480">
        <f t="shared" si="60"/>
        <v>218.03766105054513</v>
      </c>
      <c r="G28" s="3260"/>
      <c r="H28" s="1490">
        <v>3</v>
      </c>
      <c r="I28" s="1490">
        <v>0.09</v>
      </c>
      <c r="J28" s="1490">
        <v>0.28999999999999998</v>
      </c>
      <c r="K28" s="1490">
        <v>-0.01</v>
      </c>
      <c r="L28" s="1491">
        <v>0.57999999999999996</v>
      </c>
      <c r="N28" s="1475">
        <f t="shared" si="51"/>
        <v>8.9999999999999998E-4</v>
      </c>
      <c r="O28" s="1476">
        <f t="shared" si="51"/>
        <v>2.8999999999999998E-3</v>
      </c>
      <c r="P28" s="1476">
        <f t="shared" si="51"/>
        <v>-1E-4</v>
      </c>
      <c r="Q28" s="1476">
        <f t="shared" si="51"/>
        <v>5.7999999999999996E-3</v>
      </c>
      <c r="R28" s="1477"/>
      <c r="S28" s="1475"/>
      <c r="T28" s="1476"/>
      <c r="U28" s="1476"/>
      <c r="V28" s="1476"/>
    </row>
    <row r="29" spans="1:34">
      <c r="A29" s="1464" t="s">
        <v>1168</v>
      </c>
      <c r="B29" s="1480">
        <f>B28/(1+N28)</f>
        <v>275.24529281292263</v>
      </c>
      <c r="C29" s="1480">
        <f>C28/(1+O28)</f>
        <v>231.74747938962707</v>
      </c>
      <c r="D29" s="1480">
        <f t="shared" si="49"/>
        <v>231.74747938962707</v>
      </c>
      <c r="E29" s="1480">
        <f t="shared" si="60"/>
        <v>375.35938184826603</v>
      </c>
      <c r="F29" s="1480">
        <f t="shared" si="60"/>
        <v>216.78033510692495</v>
      </c>
      <c r="G29" s="3260"/>
      <c r="H29" s="1468">
        <v>2</v>
      </c>
      <c r="I29" s="1468">
        <v>0.02</v>
      </c>
      <c r="J29" s="1468">
        <v>0.12</v>
      </c>
      <c r="K29" s="1468">
        <v>-0.08</v>
      </c>
      <c r="L29" s="1482">
        <v>1.24</v>
      </c>
      <c r="N29" s="1475">
        <f t="shared" si="51"/>
        <v>2.0000000000000001E-4</v>
      </c>
      <c r="O29" s="1476">
        <f t="shared" si="51"/>
        <v>1.1999999999999999E-3</v>
      </c>
      <c r="P29" s="1476">
        <f t="shared" si="51"/>
        <v>-8.0000000000000004E-4</v>
      </c>
      <c r="Q29" s="1476">
        <f t="shared" si="51"/>
        <v>1.24E-2</v>
      </c>
      <c r="R29" s="1477"/>
      <c r="S29" s="1475"/>
      <c r="T29" s="1476"/>
      <c r="U29" s="1476"/>
      <c r="V29" s="1476"/>
    </row>
    <row r="30" spans="1:34" ht="13.5" thickBot="1">
      <c r="A30" s="1464" t="s">
        <v>1169</v>
      </c>
      <c r="B30" s="1480">
        <f>B29/(1+N29)</f>
        <v>275.19025476197027</v>
      </c>
      <c r="C30" s="1516">
        <v>232</v>
      </c>
      <c r="D30" s="1516">
        <f t="shared" si="49"/>
        <v>232</v>
      </c>
      <c r="E30" s="1480">
        <f t="shared" si="60"/>
        <v>375.65990977608692</v>
      </c>
      <c r="F30" s="1480">
        <f t="shared" si="60"/>
        <v>214.12518283971252</v>
      </c>
      <c r="G30" s="3261"/>
      <c r="H30" s="1467">
        <v>1</v>
      </c>
      <c r="I30" s="1467">
        <v>0.02</v>
      </c>
      <c r="J30" s="1467">
        <v>0.13</v>
      </c>
      <c r="K30" s="1467">
        <v>-0.04</v>
      </c>
      <c r="L30" s="1481">
        <v>0.46</v>
      </c>
      <c r="N30" s="1475">
        <f t="shared" si="51"/>
        <v>2.0000000000000001E-4</v>
      </c>
      <c r="O30" s="1476">
        <f t="shared" si="51"/>
        <v>1.2999999999999999E-3</v>
      </c>
      <c r="P30" s="1476">
        <f t="shared" si="51"/>
        <v>-4.0000000000000002E-4</v>
      </c>
      <c r="Q30" s="1476">
        <f t="shared" si="51"/>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1170</v>
      </c>
      <c r="B31" s="1472">
        <v>275</v>
      </c>
      <c r="C31" s="1472">
        <v>232</v>
      </c>
      <c r="D31" s="1472">
        <f t="shared" si="49"/>
        <v>232</v>
      </c>
      <c r="E31" s="1472">
        <v>376</v>
      </c>
      <c r="F31" s="1473">
        <v>213</v>
      </c>
      <c r="G31" s="3259">
        <v>2011</v>
      </c>
      <c r="H31" s="1485">
        <v>4</v>
      </c>
      <c r="I31" s="1485">
        <v>-0.2</v>
      </c>
      <c r="J31" s="1485">
        <v>0.04</v>
      </c>
      <c r="K31" s="1485">
        <v>-0.34</v>
      </c>
      <c r="L31" s="1486">
        <v>0.46</v>
      </c>
      <c r="N31" s="1487">
        <f t="shared" si="51"/>
        <v>-2E-3</v>
      </c>
      <c r="O31" s="1488">
        <f t="shared" si="51"/>
        <v>4.0000000000000002E-4</v>
      </c>
      <c r="P31" s="1488">
        <f t="shared" si="51"/>
        <v>-3.4000000000000002E-3</v>
      </c>
      <c r="Q31" s="1488">
        <f t="shared" si="51"/>
        <v>4.5999999999999999E-3</v>
      </c>
      <c r="R31" s="1477"/>
      <c r="S31" s="1478"/>
      <c r="T31" s="1479"/>
      <c r="U31" s="1479"/>
      <c r="V31" s="1479"/>
      <c r="X31" s="1479"/>
      <c r="Y31" s="1479"/>
      <c r="Z31" s="1479"/>
    </row>
    <row r="32" spans="1:34">
      <c r="A32" s="1464" t="s">
        <v>1171</v>
      </c>
      <c r="B32" s="1480">
        <f t="shared" ref="B32:C34" si="61">B31/(1+N31)</f>
        <v>275.55110220440883</v>
      </c>
      <c r="C32" s="1480">
        <f t="shared" si="61"/>
        <v>231.90723710515795</v>
      </c>
      <c r="D32" s="1480">
        <f t="shared" si="49"/>
        <v>231.90723710515795</v>
      </c>
      <c r="E32" s="1480">
        <f t="shared" ref="E32:F34" si="62">E31/(1+P31)</f>
        <v>377.28276138872161</v>
      </c>
      <c r="F32" s="1480">
        <f t="shared" si="62"/>
        <v>212.02468644236512</v>
      </c>
      <c r="G32" s="3260">
        <v>2011</v>
      </c>
      <c r="H32" s="1490">
        <v>3</v>
      </c>
      <c r="I32" s="1490">
        <v>0.13</v>
      </c>
      <c r="J32" s="1490">
        <v>0.75</v>
      </c>
      <c r="K32" s="1490">
        <v>-0.08</v>
      </c>
      <c r="L32" s="1491">
        <v>0.53</v>
      </c>
      <c r="N32" s="1475">
        <f t="shared" si="51"/>
        <v>1.2999999999999999E-3</v>
      </c>
      <c r="O32" s="1492">
        <f t="shared" si="51"/>
        <v>7.4999999999999997E-3</v>
      </c>
      <c r="P32" s="1492">
        <f t="shared" si="51"/>
        <v>-8.0000000000000004E-4</v>
      </c>
      <c r="Q32" s="1492">
        <f t="shared" si="51"/>
        <v>5.3E-3</v>
      </c>
      <c r="R32" s="1477"/>
      <c r="S32" s="1475"/>
      <c r="T32" s="1476"/>
      <c r="U32" s="1476"/>
      <c r="V32" s="1476"/>
    </row>
    <row r="33" spans="1:26">
      <c r="A33" s="1464" t="s">
        <v>1172</v>
      </c>
      <c r="B33" s="1480">
        <f t="shared" si="61"/>
        <v>275.19335084830601</v>
      </c>
      <c r="C33" s="1480">
        <f t="shared" si="61"/>
        <v>230.18088050139744</v>
      </c>
      <c r="D33" s="1480">
        <f t="shared" si="49"/>
        <v>230.18088050139744</v>
      </c>
      <c r="E33" s="1480">
        <f t="shared" si="62"/>
        <v>377.58482925212331</v>
      </c>
      <c r="F33" s="1480">
        <f t="shared" si="62"/>
        <v>210.90687997847917</v>
      </c>
      <c r="G33" s="3260">
        <v>2011</v>
      </c>
      <c r="H33" s="1468">
        <v>2</v>
      </c>
      <c r="I33" s="1468">
        <v>-0.4</v>
      </c>
      <c r="J33" s="1468">
        <v>0.17</v>
      </c>
      <c r="K33" s="1468">
        <v>-0.57999999999999996</v>
      </c>
      <c r="L33" s="1482">
        <v>-0.2</v>
      </c>
      <c r="N33" s="1475">
        <f t="shared" si="51"/>
        <v>-4.0000000000000001E-3</v>
      </c>
      <c r="O33" s="1492">
        <f t="shared" si="51"/>
        <v>1.7000000000000001E-3</v>
      </c>
      <c r="P33" s="1492">
        <f t="shared" si="51"/>
        <v>-5.7999999999999996E-3</v>
      </c>
      <c r="Q33" s="1492">
        <f t="shared" si="51"/>
        <v>-2E-3</v>
      </c>
      <c r="R33" s="1477"/>
      <c r="S33" s="1475"/>
      <c r="T33" s="1476"/>
      <c r="U33" s="1476"/>
      <c r="V33" s="1476"/>
    </row>
    <row r="34" spans="1:26" ht="13.5" thickBot="1">
      <c r="A34" s="1464" t="s">
        <v>1173</v>
      </c>
      <c r="B34" s="1480">
        <f t="shared" si="61"/>
        <v>276.29854502841971</v>
      </c>
      <c r="C34" s="1480">
        <f t="shared" si="61"/>
        <v>229.79023709833027</v>
      </c>
      <c r="D34" s="1480">
        <f t="shared" si="49"/>
        <v>229.79023709833027</v>
      </c>
      <c r="E34" s="1480">
        <f t="shared" si="62"/>
        <v>379.78759731655936</v>
      </c>
      <c r="F34" s="1480">
        <f t="shared" si="62"/>
        <v>211.32953905659235</v>
      </c>
      <c r="G34" s="3261">
        <v>2011</v>
      </c>
      <c r="H34" s="1467">
        <v>1</v>
      </c>
      <c r="I34" s="1467">
        <v>2.65</v>
      </c>
      <c r="J34" s="1467">
        <v>3.76</v>
      </c>
      <c r="K34" s="1467">
        <v>1.89</v>
      </c>
      <c r="L34" s="1481">
        <v>7.95</v>
      </c>
      <c r="N34" s="1483">
        <f t="shared" si="51"/>
        <v>2.6499999999999999E-2</v>
      </c>
      <c r="O34" s="1484">
        <f t="shared" si="51"/>
        <v>3.7599999999999995E-2</v>
      </c>
      <c r="P34" s="1484">
        <f t="shared" si="51"/>
        <v>1.89E-2</v>
      </c>
      <c r="Q34" s="1484">
        <f t="shared" si="51"/>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1174</v>
      </c>
      <c r="B35" s="1472">
        <v>269</v>
      </c>
      <c r="C35" s="1472">
        <v>221</v>
      </c>
      <c r="D35" s="1472">
        <f t="shared" si="49"/>
        <v>221</v>
      </c>
      <c r="E35" s="1472">
        <v>373</v>
      </c>
      <c r="F35" s="1473">
        <v>196</v>
      </c>
      <c r="G35" s="3259">
        <v>2010</v>
      </c>
      <c r="H35" s="1485">
        <v>4</v>
      </c>
      <c r="I35" s="1485">
        <v>5.72</v>
      </c>
      <c r="J35" s="1485">
        <v>6.57</v>
      </c>
      <c r="K35" s="1485">
        <v>5.72</v>
      </c>
      <c r="L35" s="1486">
        <v>2.72</v>
      </c>
      <c r="N35" s="1475">
        <f t="shared" si="51"/>
        <v>5.7200000000000001E-2</v>
      </c>
      <c r="O35" s="1476">
        <f t="shared" si="51"/>
        <v>6.5700000000000008E-2</v>
      </c>
      <c r="P35" s="1476">
        <f t="shared" si="51"/>
        <v>5.7200000000000001E-2</v>
      </c>
      <c r="Q35" s="1476">
        <f t="shared" si="51"/>
        <v>2.7200000000000002E-2</v>
      </c>
      <c r="R35" s="1477"/>
      <c r="S35" s="1478"/>
      <c r="T35" s="1479"/>
      <c r="U35" s="1479"/>
      <c r="V35" s="1479"/>
      <c r="X35" s="1479"/>
      <c r="Y35" s="1479"/>
      <c r="Z35" s="1479"/>
    </row>
    <row r="36" spans="1:26">
      <c r="A36" s="1464" t="s">
        <v>1175</v>
      </c>
      <c r="B36" s="1480">
        <f t="shared" ref="B36:C38" si="63">B35/(1+N35)</f>
        <v>254.44570563753314</v>
      </c>
      <c r="C36" s="1480">
        <f t="shared" si="63"/>
        <v>207.37543398705074</v>
      </c>
      <c r="D36" s="1480">
        <f t="shared" si="49"/>
        <v>207.37543398705074</v>
      </c>
      <c r="E36" s="1480">
        <f t="shared" ref="E36:F38" si="64">E35/(1+P35)</f>
        <v>352.81876655315932</v>
      </c>
      <c r="F36" s="1480">
        <f t="shared" si="64"/>
        <v>190.809968847352</v>
      </c>
      <c r="G36" s="3260">
        <v>2010</v>
      </c>
      <c r="H36" s="1490">
        <v>3</v>
      </c>
      <c r="I36" s="1490">
        <v>4.7300000000000004</v>
      </c>
      <c r="J36" s="1490">
        <v>3.9</v>
      </c>
      <c r="K36" s="1490">
        <v>5.03</v>
      </c>
      <c r="L36" s="1491">
        <v>4.21</v>
      </c>
      <c r="N36" s="1475">
        <f t="shared" si="51"/>
        <v>4.7300000000000002E-2</v>
      </c>
      <c r="O36" s="1476">
        <f t="shared" si="51"/>
        <v>3.9E-2</v>
      </c>
      <c r="P36" s="1476">
        <f t="shared" si="51"/>
        <v>5.0300000000000004E-2</v>
      </c>
      <c r="Q36" s="1476">
        <f t="shared" si="51"/>
        <v>4.2099999999999999E-2</v>
      </c>
      <c r="R36" s="1477"/>
      <c r="S36" s="1475"/>
      <c r="T36" s="1476"/>
      <c r="U36" s="1476"/>
      <c r="V36" s="1476"/>
    </row>
    <row r="37" spans="1:26">
      <c r="A37" s="1464" t="s">
        <v>1176</v>
      </c>
      <c r="B37" s="1480">
        <f t="shared" si="63"/>
        <v>242.95398227588385</v>
      </c>
      <c r="C37" s="1480">
        <f t="shared" si="63"/>
        <v>199.59137053614126</v>
      </c>
      <c r="D37" s="1480">
        <f t="shared" si="49"/>
        <v>199.59137053614126</v>
      </c>
      <c r="E37" s="1480">
        <f t="shared" si="64"/>
        <v>335.92189522342125</v>
      </c>
      <c r="F37" s="1480">
        <f t="shared" si="64"/>
        <v>183.10139991109489</v>
      </c>
      <c r="G37" s="3260">
        <v>2010</v>
      </c>
      <c r="H37" s="1468">
        <v>2</v>
      </c>
      <c r="I37" s="1468">
        <v>4.6900000000000004</v>
      </c>
      <c r="J37" s="1468">
        <v>3.55</v>
      </c>
      <c r="K37" s="1468">
        <v>5.07</v>
      </c>
      <c r="L37" s="1482">
        <v>4.2300000000000004</v>
      </c>
      <c r="N37" s="1475">
        <f t="shared" si="51"/>
        <v>4.6900000000000004E-2</v>
      </c>
      <c r="O37" s="1476">
        <f t="shared" si="51"/>
        <v>3.5499999999999997E-2</v>
      </c>
      <c r="P37" s="1476">
        <f t="shared" si="51"/>
        <v>5.0700000000000002E-2</v>
      </c>
      <c r="Q37" s="1476">
        <f t="shared" si="51"/>
        <v>4.2300000000000004E-2</v>
      </c>
      <c r="R37" s="1477"/>
      <c r="S37" s="1475"/>
      <c r="T37" s="1476"/>
      <c r="U37" s="1476"/>
      <c r="V37" s="1476"/>
    </row>
    <row r="38" spans="1:26" ht="13.5" thickBot="1">
      <c r="A38" s="1464" t="s">
        <v>1177</v>
      </c>
      <c r="B38" s="1480">
        <f t="shared" si="63"/>
        <v>232.06990378821649</v>
      </c>
      <c r="C38" s="1480">
        <f t="shared" si="63"/>
        <v>192.74878854286936</v>
      </c>
      <c r="D38" s="1480">
        <f t="shared" si="49"/>
        <v>192.74878854286936</v>
      </c>
      <c r="E38" s="1480">
        <f t="shared" si="64"/>
        <v>319.71247284992984</v>
      </c>
      <c r="F38" s="1480">
        <f t="shared" si="64"/>
        <v>175.67053622862409</v>
      </c>
      <c r="G38" s="3261">
        <v>2010</v>
      </c>
      <c r="H38" s="1467">
        <v>1</v>
      </c>
      <c r="I38" s="1467">
        <v>5.4</v>
      </c>
      <c r="J38" s="1467">
        <v>3.2</v>
      </c>
      <c r="K38" s="1467">
        <v>6.16</v>
      </c>
      <c r="L38" s="1481">
        <v>4.51</v>
      </c>
      <c r="N38" s="1475">
        <f t="shared" si="51"/>
        <v>5.4000000000000006E-2</v>
      </c>
      <c r="O38" s="1476">
        <f t="shared" si="51"/>
        <v>3.2000000000000001E-2</v>
      </c>
      <c r="P38" s="1476">
        <f t="shared" si="51"/>
        <v>6.1600000000000002E-2</v>
      </c>
      <c r="Q38" s="1476">
        <f t="shared" si="51"/>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1178</v>
      </c>
      <c r="B39" s="1472">
        <v>220</v>
      </c>
      <c r="C39" s="1472">
        <v>187</v>
      </c>
      <c r="D39" s="1472">
        <f t="shared" si="49"/>
        <v>187</v>
      </c>
      <c r="E39" s="1472">
        <v>301</v>
      </c>
      <c r="F39" s="1473">
        <v>168</v>
      </c>
      <c r="G39" s="3259">
        <v>2009</v>
      </c>
      <c r="H39" s="1485">
        <v>4</v>
      </c>
      <c r="I39" s="1485">
        <v>2.2999999999999998</v>
      </c>
      <c r="J39" s="1485">
        <v>1.04</v>
      </c>
      <c r="K39" s="1485">
        <v>2.84</v>
      </c>
      <c r="L39" s="1486">
        <v>0.67</v>
      </c>
      <c r="N39" s="1487">
        <f t="shared" si="51"/>
        <v>2.3E-2</v>
      </c>
      <c r="O39" s="1488">
        <f t="shared" si="51"/>
        <v>1.04E-2</v>
      </c>
      <c r="P39" s="1488">
        <f t="shared" si="51"/>
        <v>2.8399999999999998E-2</v>
      </c>
      <c r="Q39" s="1488">
        <f t="shared" si="51"/>
        <v>6.7000000000000002E-3</v>
      </c>
      <c r="R39" s="1477"/>
      <c r="S39" s="1478"/>
      <c r="T39" s="1479"/>
      <c r="U39" s="1479"/>
      <c r="V39" s="1479"/>
      <c r="X39" s="1479"/>
      <c r="Y39" s="1479"/>
      <c r="Z39" s="1479"/>
    </row>
    <row r="40" spans="1:26">
      <c r="A40" s="1464" t="s">
        <v>1179</v>
      </c>
      <c r="B40" s="1480">
        <f t="shared" ref="B40:C42" si="65">B39/(1+N39)</f>
        <v>215.05376344086022</v>
      </c>
      <c r="C40" s="1480">
        <f t="shared" si="65"/>
        <v>185.0752177355503</v>
      </c>
      <c r="D40" s="1480">
        <f t="shared" si="49"/>
        <v>185.0752177355503</v>
      </c>
      <c r="E40" s="1480">
        <f t="shared" ref="E40:F42" si="66">E39/(1+P39)</f>
        <v>292.68767016725008</v>
      </c>
      <c r="F40" s="1480">
        <f t="shared" si="66"/>
        <v>166.88189132810174</v>
      </c>
      <c r="G40" s="3260">
        <v>2009</v>
      </c>
      <c r="H40" s="1490">
        <v>3</v>
      </c>
      <c r="I40" s="1490">
        <v>2.1</v>
      </c>
      <c r="J40" s="1490">
        <v>1.86</v>
      </c>
      <c r="K40" s="1490">
        <v>2.29</v>
      </c>
      <c r="L40" s="1491">
        <v>0.85</v>
      </c>
      <c r="N40" s="1475">
        <f t="shared" si="51"/>
        <v>2.1000000000000001E-2</v>
      </c>
      <c r="O40" s="1492">
        <f t="shared" si="51"/>
        <v>1.8600000000000002E-2</v>
      </c>
      <c r="P40" s="1492">
        <f t="shared" si="51"/>
        <v>2.29E-2</v>
      </c>
      <c r="Q40" s="1492">
        <f t="shared" si="51"/>
        <v>8.5000000000000006E-3</v>
      </c>
      <c r="R40" s="1477"/>
      <c r="S40" s="1475"/>
      <c r="T40" s="1476"/>
      <c r="U40" s="1476"/>
      <c r="V40" s="1476"/>
    </row>
    <row r="41" spans="1:26">
      <c r="A41" s="1464" t="s">
        <v>1180</v>
      </c>
      <c r="B41" s="1480">
        <f t="shared" si="65"/>
        <v>210.630522469011</v>
      </c>
      <c r="C41" s="1480">
        <f t="shared" si="65"/>
        <v>181.69567812247232</v>
      </c>
      <c r="D41" s="1480">
        <f t="shared" si="49"/>
        <v>181.69567812247232</v>
      </c>
      <c r="E41" s="1480">
        <f t="shared" si="66"/>
        <v>286.13517466736738</v>
      </c>
      <c r="F41" s="1480">
        <f t="shared" si="66"/>
        <v>165.47535084591149</v>
      </c>
      <c r="G41" s="3260">
        <v>2009</v>
      </c>
      <c r="H41" s="1468">
        <v>2</v>
      </c>
      <c r="I41" s="1468">
        <v>0.86</v>
      </c>
      <c r="J41" s="1468">
        <v>-1.1299999999999999</v>
      </c>
      <c r="K41" s="1468">
        <v>1.79</v>
      </c>
      <c r="L41" s="1482">
        <v>-2.0699999999999998</v>
      </c>
      <c r="N41" s="1475">
        <f t="shared" si="51"/>
        <v>8.6E-3</v>
      </c>
      <c r="O41" s="1492">
        <f t="shared" si="51"/>
        <v>-1.1299999999999999E-2</v>
      </c>
      <c r="P41" s="1492">
        <f t="shared" si="51"/>
        <v>1.7899999999999999E-2</v>
      </c>
      <c r="Q41" s="1492">
        <f t="shared" si="51"/>
        <v>-2.07E-2</v>
      </c>
      <c r="R41" s="1477"/>
      <c r="S41" s="1475"/>
      <c r="T41" s="1476"/>
      <c r="U41" s="1476"/>
      <c r="V41" s="1476"/>
    </row>
    <row r="42" spans="1:26">
      <c r="A42" s="1464" t="s">
        <v>1181</v>
      </c>
      <c r="B42" s="1480">
        <f t="shared" si="65"/>
        <v>208.83454537875372</v>
      </c>
      <c r="C42" s="1480">
        <f t="shared" si="65"/>
        <v>183.77230517090351</v>
      </c>
      <c r="D42" s="1480">
        <f t="shared" si="49"/>
        <v>183.77230517090351</v>
      </c>
      <c r="E42" s="1480">
        <f t="shared" si="66"/>
        <v>281.10342338870947</v>
      </c>
      <c r="F42" s="1480">
        <f t="shared" si="66"/>
        <v>168.97309388942256</v>
      </c>
      <c r="G42" s="3261">
        <v>2009</v>
      </c>
      <c r="H42" s="1467">
        <v>1</v>
      </c>
      <c r="I42" s="1467">
        <v>-2.64</v>
      </c>
      <c r="J42" s="1467">
        <v>-2.5299999999999998</v>
      </c>
      <c r="K42" s="1467">
        <v>-3.02</v>
      </c>
      <c r="L42" s="1481">
        <v>1.52</v>
      </c>
      <c r="N42" s="1483">
        <f t="shared" si="51"/>
        <v>-2.64E-2</v>
      </c>
      <c r="O42" s="1484">
        <f t="shared" si="51"/>
        <v>-2.53E-2</v>
      </c>
      <c r="P42" s="1484">
        <f t="shared" si="51"/>
        <v>-3.0200000000000001E-2</v>
      </c>
      <c r="Q42" s="1484">
        <f t="shared" si="51"/>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1182</v>
      </c>
      <c r="B43" s="1514">
        <v>214</v>
      </c>
      <c r="C43" s="1514">
        <v>188</v>
      </c>
      <c r="D43" s="1514">
        <f t="shared" si="49"/>
        <v>188</v>
      </c>
      <c r="E43" s="1514">
        <v>289</v>
      </c>
      <c r="F43" s="1515">
        <v>166</v>
      </c>
      <c r="G43" s="3259">
        <v>2008</v>
      </c>
      <c r="H43" s="1485">
        <v>4</v>
      </c>
      <c r="I43" s="1485">
        <v>1.73</v>
      </c>
      <c r="J43" s="1485">
        <v>0.03</v>
      </c>
      <c r="K43" s="1485">
        <v>2.59</v>
      </c>
      <c r="L43" s="1486">
        <v>-1.66</v>
      </c>
      <c r="N43" s="1475">
        <f t="shared" si="51"/>
        <v>1.7299999999999999E-2</v>
      </c>
      <c r="O43" s="1476">
        <f t="shared" si="51"/>
        <v>2.9999999999999997E-4</v>
      </c>
      <c r="P43" s="1476">
        <f t="shared" si="51"/>
        <v>2.5899999999999999E-2</v>
      </c>
      <c r="Q43" s="1476">
        <f t="shared" si="51"/>
        <v>-1.66E-2</v>
      </c>
      <c r="R43" s="1477"/>
      <c r="S43" s="1478"/>
      <c r="T43" s="1479"/>
      <c r="U43" s="1479"/>
      <c r="V43" s="1479"/>
      <c r="X43" s="1479"/>
      <c r="Y43" s="1479"/>
      <c r="Z43" s="1479"/>
    </row>
    <row r="44" spans="1:26">
      <c r="A44" s="1464" t="s">
        <v>1183</v>
      </c>
      <c r="B44" s="1480">
        <f t="shared" ref="B44:C46" si="67">B43/(1+N43)</f>
        <v>210.36075887152265</v>
      </c>
      <c r="C44" s="1480">
        <f t="shared" si="67"/>
        <v>187.94361691492554</v>
      </c>
      <c r="D44" s="1480">
        <f t="shared" si="49"/>
        <v>187.94361691492554</v>
      </c>
      <c r="E44" s="1480">
        <f t="shared" ref="E44:F46" si="68">E43/(1+P43)</f>
        <v>281.70386977288234</v>
      </c>
      <c r="F44" s="1480">
        <f t="shared" si="68"/>
        <v>168.80211511083994</v>
      </c>
      <c r="G44" s="3260">
        <v>2008</v>
      </c>
      <c r="H44" s="1490">
        <v>3</v>
      </c>
      <c r="I44" s="1490">
        <v>1.96</v>
      </c>
      <c r="J44" s="1490">
        <v>2.36</v>
      </c>
      <c r="K44" s="1490">
        <v>1.82</v>
      </c>
      <c r="L44" s="1491">
        <v>2.2200000000000002</v>
      </c>
      <c r="N44" s="1475">
        <f t="shared" si="51"/>
        <v>1.9599999999999999E-2</v>
      </c>
      <c r="O44" s="1476">
        <f t="shared" si="51"/>
        <v>2.3599999999999999E-2</v>
      </c>
      <c r="P44" s="1476">
        <f t="shared" si="51"/>
        <v>1.8200000000000001E-2</v>
      </c>
      <c r="Q44" s="1476">
        <f t="shared" si="51"/>
        <v>2.2200000000000001E-2</v>
      </c>
      <c r="R44" s="1477"/>
      <c r="S44" s="1475"/>
      <c r="T44" s="1476"/>
      <c r="U44" s="1476"/>
      <c r="V44" s="1476"/>
    </row>
    <row r="45" spans="1:26">
      <c r="A45" s="1464" t="s">
        <v>1184</v>
      </c>
      <c r="B45" s="1480">
        <f t="shared" si="67"/>
        <v>206.31694671589116</v>
      </c>
      <c r="C45" s="1480">
        <f t="shared" si="67"/>
        <v>183.61041121036101</v>
      </c>
      <c r="D45" s="1480">
        <f t="shared" si="49"/>
        <v>183.61041121036101</v>
      </c>
      <c r="E45" s="1480">
        <f t="shared" si="68"/>
        <v>276.66850301795557</v>
      </c>
      <c r="F45" s="1480">
        <f t="shared" si="68"/>
        <v>165.1360938278614</v>
      </c>
      <c r="G45" s="3260">
        <v>2008</v>
      </c>
      <c r="H45" s="1468">
        <v>2</v>
      </c>
      <c r="I45" s="1468">
        <v>4.93</v>
      </c>
      <c r="J45" s="1468">
        <v>7.38</v>
      </c>
      <c r="K45" s="1468">
        <v>3.98</v>
      </c>
      <c r="L45" s="1482">
        <v>6.86</v>
      </c>
      <c r="N45" s="1475">
        <f t="shared" si="51"/>
        <v>4.9299999999999997E-2</v>
      </c>
      <c r="O45" s="1476">
        <f t="shared" si="51"/>
        <v>7.3800000000000004E-2</v>
      </c>
      <c r="P45" s="1476">
        <f t="shared" si="51"/>
        <v>3.9800000000000002E-2</v>
      </c>
      <c r="Q45" s="1476">
        <f t="shared" si="51"/>
        <v>6.8600000000000008E-2</v>
      </c>
      <c r="R45" s="1477"/>
      <c r="S45" s="1475"/>
      <c r="T45" s="1476"/>
      <c r="U45" s="1476"/>
      <c r="V45" s="1476"/>
    </row>
    <row r="46" spans="1:26" s="1520" customFormat="1" ht="13.5" thickBot="1">
      <c r="A46" s="1464" t="s">
        <v>1185</v>
      </c>
      <c r="B46" s="1517">
        <f t="shared" si="67"/>
        <v>196.62341248059772</v>
      </c>
      <c r="C46" s="1517">
        <f t="shared" si="67"/>
        <v>170.99125648199012</v>
      </c>
      <c r="D46" s="1517">
        <f t="shared" si="49"/>
        <v>170.99125648199012</v>
      </c>
      <c r="E46" s="1517">
        <f t="shared" si="68"/>
        <v>266.07857570490052</v>
      </c>
      <c r="F46" s="1517">
        <f t="shared" si="68"/>
        <v>154.53499328828505</v>
      </c>
      <c r="G46" s="3261">
        <v>2008</v>
      </c>
      <c r="H46" s="1518">
        <v>1</v>
      </c>
      <c r="I46" s="1518">
        <v>4.1399999999999997</v>
      </c>
      <c r="J46" s="1518">
        <v>3.45</v>
      </c>
      <c r="K46" s="1518">
        <v>4.95</v>
      </c>
      <c r="L46" s="1519">
        <v>4.82</v>
      </c>
      <c r="N46" s="1521">
        <f t="shared" si="51"/>
        <v>4.1399999999999999E-2</v>
      </c>
      <c r="O46" s="1522">
        <f t="shared" si="51"/>
        <v>3.4500000000000003E-2</v>
      </c>
      <c r="P46" s="1522">
        <f t="shared" si="51"/>
        <v>4.9500000000000002E-2</v>
      </c>
      <c r="Q46" s="1522">
        <f t="shared" si="51"/>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1186</v>
      </c>
      <c r="B47" s="1472">
        <v>188</v>
      </c>
      <c r="C47" s="1472">
        <v>165</v>
      </c>
      <c r="D47" s="1472">
        <f t="shared" si="49"/>
        <v>165</v>
      </c>
      <c r="E47" s="1472">
        <v>254</v>
      </c>
      <c r="F47" s="1473">
        <v>148</v>
      </c>
      <c r="G47" s="3259">
        <v>2007</v>
      </c>
      <c r="H47" s="1525">
        <v>4</v>
      </c>
      <c r="I47" s="1525">
        <v>5.51</v>
      </c>
      <c r="J47" s="1525">
        <v>4.8899999999999997</v>
      </c>
      <c r="K47" s="1525">
        <v>6.43</v>
      </c>
      <c r="L47" s="1526">
        <v>5.36</v>
      </c>
      <c r="N47" s="1527">
        <f t="shared" ref="N47:O50" si="69">B47/B48-1</f>
        <v>4.1339718365245526E-2</v>
      </c>
      <c r="O47" s="1528">
        <f t="shared" si="69"/>
        <v>4.0324492593776018E-2</v>
      </c>
      <c r="P47" s="1528">
        <f t="shared" ref="P47:Q50" si="70">E47/E48-1</f>
        <v>6.1625555347990968E-2</v>
      </c>
      <c r="Q47" s="1528">
        <f t="shared" si="70"/>
        <v>4.6757569250590603E-2</v>
      </c>
      <c r="R47" s="1477"/>
      <c r="S47" s="1478"/>
      <c r="T47" s="1479"/>
      <c r="U47" s="1479"/>
      <c r="V47" s="1479"/>
      <c r="X47" s="1479"/>
      <c r="Y47" s="1479"/>
      <c r="Z47" s="1479"/>
    </row>
    <row r="48" spans="1:26">
      <c r="A48" s="1464" t="s">
        <v>1187</v>
      </c>
      <c r="B48" s="1480">
        <f t="shared" ref="B48:C50" si="71">B49+(B$47-B$51)*I48/SUM(I$47:I$50)</f>
        <v>180.5366651097618</v>
      </c>
      <c r="C48" s="1480">
        <f t="shared" si="71"/>
        <v>158.60435967302453</v>
      </c>
      <c r="D48" s="1480">
        <f t="shared" si="49"/>
        <v>158.60435967302453</v>
      </c>
      <c r="E48" s="1480">
        <f t="shared" ref="E48:F50" si="72">E49+(E$47-E$51)*K48/SUM(K$47:K$50)</f>
        <v>239.25573260785075</v>
      </c>
      <c r="F48" s="1480">
        <f t="shared" si="72"/>
        <v>141.38899430740037</v>
      </c>
      <c r="G48" s="3260">
        <v>2007</v>
      </c>
      <c r="H48" s="1490">
        <v>3</v>
      </c>
      <c r="I48" s="1490">
        <v>8.65</v>
      </c>
      <c r="J48" s="1490">
        <v>8.06</v>
      </c>
      <c r="K48" s="1490">
        <v>9.94</v>
      </c>
      <c r="L48" s="1491">
        <v>5.8</v>
      </c>
      <c r="N48" s="1527">
        <f t="shared" si="69"/>
        <v>6.940217571740015E-2</v>
      </c>
      <c r="O48" s="1528">
        <f t="shared" si="69"/>
        <v>7.1197482471153428E-2</v>
      </c>
      <c r="P48" s="1528">
        <f t="shared" si="70"/>
        <v>0.10529679922579582</v>
      </c>
      <c r="Q48" s="1528">
        <f t="shared" si="70"/>
        <v>5.3292245059512133E-2</v>
      </c>
      <c r="R48" s="1477"/>
      <c r="S48" s="1475"/>
      <c r="T48" s="1476"/>
      <c r="U48" s="1476"/>
      <c r="V48" s="1476"/>
      <c r="X48" s="1529"/>
      <c r="Y48" s="1529"/>
      <c r="Z48" s="1529"/>
    </row>
    <row r="49" spans="1:26">
      <c r="A49" s="1464" t="s">
        <v>1188</v>
      </c>
      <c r="B49" s="1480">
        <f t="shared" si="71"/>
        <v>168.82017748715555</v>
      </c>
      <c r="C49" s="1480">
        <f t="shared" si="71"/>
        <v>148.06267029972753</v>
      </c>
      <c r="D49" s="1480">
        <f t="shared" si="49"/>
        <v>148.06267029972753</v>
      </c>
      <c r="E49" s="1480">
        <f t="shared" si="72"/>
        <v>216.46288379323747</v>
      </c>
      <c r="F49" s="1480">
        <f t="shared" si="72"/>
        <v>134.23529411764704</v>
      </c>
      <c r="G49" s="3260">
        <v>2007</v>
      </c>
      <c r="H49" s="1468">
        <v>2</v>
      </c>
      <c r="I49" s="1468">
        <v>3.67</v>
      </c>
      <c r="J49" s="1468">
        <v>2.3199999999999998</v>
      </c>
      <c r="K49" s="1468">
        <v>5.0199999999999996</v>
      </c>
      <c r="L49" s="1482">
        <v>6.71</v>
      </c>
      <c r="N49" s="1527">
        <f t="shared" si="69"/>
        <v>3.0339138143848032E-2</v>
      </c>
      <c r="O49" s="1528">
        <f t="shared" si="69"/>
        <v>2.0922341588790472E-2</v>
      </c>
      <c r="P49" s="1528">
        <f t="shared" si="70"/>
        <v>5.6164796592717003E-2</v>
      </c>
      <c r="Q49" s="1528">
        <f t="shared" si="70"/>
        <v>6.5704536723887319E-2</v>
      </c>
      <c r="R49" s="1477"/>
      <c r="S49" s="1475"/>
      <c r="T49" s="1476"/>
      <c r="U49" s="1476"/>
      <c r="V49" s="1476"/>
      <c r="X49" s="1529"/>
      <c r="Y49" s="1529"/>
      <c r="Z49" s="1529"/>
    </row>
    <row r="50" spans="1:26">
      <c r="A50" s="1464" t="s">
        <v>1189</v>
      </c>
      <c r="B50" s="1480">
        <f t="shared" si="71"/>
        <v>163.84913591779542</v>
      </c>
      <c r="C50" s="1480">
        <f t="shared" si="71"/>
        <v>145.0283378746594</v>
      </c>
      <c r="D50" s="1480">
        <f t="shared" si="49"/>
        <v>145.0283378746594</v>
      </c>
      <c r="E50" s="1480">
        <f t="shared" si="72"/>
        <v>204.95180722891567</v>
      </c>
      <c r="F50" s="1480">
        <f t="shared" si="72"/>
        <v>125.95920303605313</v>
      </c>
      <c r="G50" s="3261">
        <v>2007</v>
      </c>
      <c r="H50" s="1467">
        <v>1</v>
      </c>
      <c r="I50" s="1467">
        <v>3.58</v>
      </c>
      <c r="J50" s="1467">
        <v>3.08</v>
      </c>
      <c r="K50" s="1467">
        <v>4.34</v>
      </c>
      <c r="L50" s="1481">
        <v>3.21</v>
      </c>
      <c r="N50" s="1530">
        <f t="shared" si="69"/>
        <v>3.0497710174814063E-2</v>
      </c>
      <c r="O50" s="1531">
        <f t="shared" si="69"/>
        <v>2.8569772160704998E-2</v>
      </c>
      <c r="P50" s="1531">
        <f t="shared" si="70"/>
        <v>5.1034908866234296E-2</v>
      </c>
      <c r="Q50" s="1531">
        <f t="shared" si="70"/>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1190</v>
      </c>
      <c r="B51" s="1493">
        <v>159</v>
      </c>
      <c r="C51" s="1493">
        <v>141</v>
      </c>
      <c r="D51" s="1493">
        <f t="shared" si="49"/>
        <v>141</v>
      </c>
      <c r="E51" s="1493">
        <v>195</v>
      </c>
      <c r="F51" s="1494">
        <v>122</v>
      </c>
      <c r="G51" s="3259">
        <v>2006</v>
      </c>
      <c r="H51" s="1485">
        <v>4</v>
      </c>
      <c r="I51" s="1485">
        <v>3.79</v>
      </c>
      <c r="J51" s="1485">
        <v>2.21</v>
      </c>
      <c r="K51" s="1485">
        <v>5.65</v>
      </c>
      <c r="L51" s="1486">
        <v>5.41</v>
      </c>
      <c r="N51" s="1527">
        <f t="shared" ref="N51:O54" si="73">I51/SUM(I$51:I$54)*(B$51/B$55-1)</f>
        <v>7.245466462748526E-2</v>
      </c>
      <c r="O51" s="1528">
        <f t="shared" si="73"/>
        <v>2.3237230038062766E-2</v>
      </c>
      <c r="P51" s="1528">
        <f t="shared" ref="P51:Q54" si="74">K51/SUM(K$51:K$54)*(E$51/E$55-1)</f>
        <v>0.16146893866323722</v>
      </c>
      <c r="Q51" s="1528">
        <f t="shared" si="74"/>
        <v>5.0755230321793784E-2</v>
      </c>
      <c r="R51" s="1477"/>
      <c r="S51" s="1478"/>
      <c r="T51" s="1479"/>
      <c r="U51" s="1479"/>
      <c r="V51" s="1479"/>
      <c r="X51" s="1529"/>
      <c r="Y51" s="1529"/>
      <c r="Z51" s="1529"/>
    </row>
    <row r="52" spans="1:26">
      <c r="A52" s="1464" t="s">
        <v>1191</v>
      </c>
      <c r="B52" s="1480">
        <f t="shared" ref="B52:C54" si="75">B53+(B$51-B$55)*I52/SUM(I$51:I$54)</f>
        <v>149.00125628140702</v>
      </c>
      <c r="C52" s="1480">
        <f t="shared" si="75"/>
        <v>137.95592286501378</v>
      </c>
      <c r="D52" s="1480">
        <f t="shared" si="49"/>
        <v>137.95592286501378</v>
      </c>
      <c r="E52" s="1480">
        <f t="shared" ref="E52:F54" si="76">E53+(E$51-E$55)*K52/SUM(K$51:K$54)</f>
        <v>169.97231450719823</v>
      </c>
      <c r="F52" s="1480">
        <f t="shared" si="76"/>
        <v>116.21390374331551</v>
      </c>
      <c r="G52" s="3260">
        <v>2006</v>
      </c>
      <c r="H52" s="1490">
        <v>3</v>
      </c>
      <c r="I52" s="1490">
        <v>0.92</v>
      </c>
      <c r="J52" s="1490">
        <v>1.08</v>
      </c>
      <c r="K52" s="1490">
        <v>0.73</v>
      </c>
      <c r="L52" s="1491">
        <v>1.08</v>
      </c>
      <c r="N52" s="1527">
        <f t="shared" si="73"/>
        <v>1.7587939698492462E-2</v>
      </c>
      <c r="O52" s="1528">
        <f t="shared" si="73"/>
        <v>1.1355750425840628E-2</v>
      </c>
      <c r="P52" s="1528">
        <f t="shared" si="74"/>
        <v>2.0862358446754544E-2</v>
      </c>
      <c r="Q52" s="1528">
        <f t="shared" si="74"/>
        <v>1.0132282578103011E-2</v>
      </c>
      <c r="R52" s="1477"/>
      <c r="S52" s="1475"/>
      <c r="T52" s="1476"/>
      <c r="U52" s="1476"/>
      <c r="V52" s="1476"/>
      <c r="X52" s="1529"/>
      <c r="Y52" s="1529"/>
      <c r="Z52" s="1529"/>
    </row>
    <row r="53" spans="1:26">
      <c r="A53" s="1464" t="s">
        <v>1192</v>
      </c>
      <c r="B53" s="1480">
        <f t="shared" si="75"/>
        <v>146.57412060301507</v>
      </c>
      <c r="C53" s="1480">
        <f t="shared" si="75"/>
        <v>136.46831955922866</v>
      </c>
      <c r="D53" s="1480">
        <f t="shared" si="49"/>
        <v>136.46831955922866</v>
      </c>
      <c r="E53" s="1480">
        <f t="shared" si="76"/>
        <v>166.73864894795128</v>
      </c>
      <c r="F53" s="1480">
        <f t="shared" si="76"/>
        <v>115.05882352941177</v>
      </c>
      <c r="G53" s="3260">
        <v>2006</v>
      </c>
      <c r="H53" s="1468">
        <v>2</v>
      </c>
      <c r="I53" s="1468">
        <v>0.96</v>
      </c>
      <c r="J53" s="1468">
        <v>0.25</v>
      </c>
      <c r="K53" s="1468">
        <v>1.9</v>
      </c>
      <c r="L53" s="1482">
        <v>0.95</v>
      </c>
      <c r="N53" s="1527">
        <f t="shared" si="73"/>
        <v>1.8352632728861701E-2</v>
      </c>
      <c r="O53" s="1528">
        <f t="shared" si="73"/>
        <v>2.6286459319075526E-3</v>
      </c>
      <c r="P53" s="1528">
        <f t="shared" si="74"/>
        <v>5.4299289107991269E-2</v>
      </c>
      <c r="Q53" s="1528">
        <f t="shared" si="74"/>
        <v>8.9126559714794995E-3</v>
      </c>
      <c r="R53" s="1477"/>
      <c r="S53" s="1475"/>
      <c r="T53" s="1476"/>
      <c r="U53" s="1476"/>
      <c r="V53" s="1476"/>
      <c r="X53" s="1529"/>
      <c r="Y53" s="1529"/>
      <c r="Z53" s="1529"/>
    </row>
    <row r="54" spans="1:26">
      <c r="A54" s="1464" t="s">
        <v>1193</v>
      </c>
      <c r="B54" s="1480">
        <f t="shared" si="75"/>
        <v>144.04145728643215</v>
      </c>
      <c r="C54" s="1480">
        <f t="shared" si="75"/>
        <v>136.12396694214877</v>
      </c>
      <c r="D54" s="1480">
        <f t="shared" si="49"/>
        <v>136.12396694214877</v>
      </c>
      <c r="E54" s="1480">
        <f t="shared" si="76"/>
        <v>158.32225913621264</v>
      </c>
      <c r="F54" s="1480">
        <f t="shared" si="76"/>
        <v>114.04278074866311</v>
      </c>
      <c r="G54" s="3261">
        <v>2006</v>
      </c>
      <c r="H54" s="1467">
        <v>1</v>
      </c>
      <c r="I54" s="1467">
        <v>2.29</v>
      </c>
      <c r="J54" s="1467">
        <v>3.72</v>
      </c>
      <c r="K54" s="1467">
        <v>0.75</v>
      </c>
      <c r="L54" s="1481">
        <v>0.04</v>
      </c>
      <c r="N54" s="1530">
        <f t="shared" si="73"/>
        <v>4.3778675988638847E-2</v>
      </c>
      <c r="O54" s="1531">
        <f t="shared" si="73"/>
        <v>3.9114251466784385E-2</v>
      </c>
      <c r="P54" s="1531">
        <f t="shared" si="74"/>
        <v>2.1433929911049188E-2</v>
      </c>
      <c r="Q54" s="1531">
        <f t="shared" si="74"/>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1194</v>
      </c>
      <c r="B55" s="1493">
        <v>138</v>
      </c>
      <c r="C55" s="1493">
        <v>131</v>
      </c>
      <c r="D55" s="1493">
        <f t="shared" si="49"/>
        <v>131</v>
      </c>
      <c r="E55" s="1493">
        <v>155</v>
      </c>
      <c r="F55" s="1494">
        <v>114</v>
      </c>
      <c r="G55" s="3259">
        <v>2005</v>
      </c>
      <c r="H55" s="1485">
        <v>4</v>
      </c>
      <c r="I55" s="1485">
        <v>3.29</v>
      </c>
      <c r="J55" s="1485">
        <v>1.44</v>
      </c>
      <c r="K55" s="1485">
        <v>0.66</v>
      </c>
      <c r="L55" s="1486">
        <v>7.78</v>
      </c>
      <c r="N55" s="1527">
        <f t="shared" ref="N55:O58" si="77">I55/SUM(I$55:I$58)*(B$55/B$59-1)</f>
        <v>9.9404603216919935E-2</v>
      </c>
      <c r="O55" s="1528">
        <f t="shared" si="77"/>
        <v>4.7636550760861554E-2</v>
      </c>
      <c r="P55" s="1528">
        <f t="shared" ref="P55:Q58" si="78">K55/SUM(K$55:K$58)*(E$55/E$59-1)</f>
        <v>8.3756345177664976E-2</v>
      </c>
      <c r="Q55" s="1528">
        <f t="shared" si="78"/>
        <v>5.2148766661559584E-2</v>
      </c>
      <c r="R55" s="1477"/>
      <c r="S55" s="1478"/>
      <c r="T55" s="1479"/>
      <c r="U55" s="1479"/>
      <c r="V55" s="1479"/>
      <c r="X55" s="1529"/>
      <c r="Y55" s="1529"/>
      <c r="Z55" s="1529"/>
    </row>
    <row r="56" spans="1:26">
      <c r="A56" s="1464" t="s">
        <v>1195</v>
      </c>
      <c r="B56" s="1480">
        <f t="shared" ref="B56:C58" si="79">B57+(B$55-B$59)*I56/SUM(I$55:I$58)</f>
        <v>125.9720430107527</v>
      </c>
      <c r="C56" s="1480">
        <f t="shared" si="79"/>
        <v>125.1883408071749</v>
      </c>
      <c r="D56" s="1480">
        <f t="shared" si="49"/>
        <v>125.1883408071749</v>
      </c>
      <c r="E56" s="1480">
        <f t="shared" ref="E56:F58" si="80">E57+(E$55-E$59)*K56/SUM(K$55:K$58)</f>
        <v>144.61421319796952</v>
      </c>
      <c r="F56" s="1480">
        <f t="shared" si="80"/>
        <v>108.42008196721311</v>
      </c>
      <c r="G56" s="3260">
        <v>2005</v>
      </c>
      <c r="H56" s="1490">
        <v>3</v>
      </c>
      <c r="I56" s="1490">
        <v>0.46</v>
      </c>
      <c r="J56" s="1490">
        <v>0.32</v>
      </c>
      <c r="K56" s="1490">
        <v>0.42</v>
      </c>
      <c r="L56" s="1491">
        <v>0.64</v>
      </c>
      <c r="N56" s="1527">
        <f t="shared" si="77"/>
        <v>1.3898515951301874E-2</v>
      </c>
      <c r="O56" s="1528">
        <f t="shared" si="77"/>
        <v>1.0585900169080346E-2</v>
      </c>
      <c r="P56" s="1528">
        <f t="shared" si="78"/>
        <v>5.3299492385786795E-2</v>
      </c>
      <c r="Q56" s="1528">
        <f t="shared" si="78"/>
        <v>4.2898728359123568E-3</v>
      </c>
      <c r="R56" s="1477"/>
      <c r="S56" s="1475"/>
      <c r="T56" s="1476"/>
      <c r="U56" s="1476"/>
      <c r="V56" s="1476"/>
      <c r="X56" s="1529"/>
      <c r="Y56" s="1529"/>
      <c r="Z56" s="1529"/>
    </row>
    <row r="57" spans="1:26">
      <c r="A57" s="1464" t="s">
        <v>1196</v>
      </c>
      <c r="B57" s="1480">
        <f t="shared" si="79"/>
        <v>124.29032258064517</v>
      </c>
      <c r="C57" s="1480">
        <f t="shared" si="79"/>
        <v>123.8968609865471</v>
      </c>
      <c r="D57" s="1480">
        <f t="shared" si="49"/>
        <v>123.8968609865471</v>
      </c>
      <c r="E57" s="1480">
        <f t="shared" si="80"/>
        <v>138.00507614213197</v>
      </c>
      <c r="F57" s="1480">
        <f t="shared" si="80"/>
        <v>107.96106557377048</v>
      </c>
      <c r="G57" s="3260">
        <v>2005</v>
      </c>
      <c r="H57" s="1468">
        <v>2</v>
      </c>
      <c r="I57" s="1468">
        <v>0.47</v>
      </c>
      <c r="J57" s="1468">
        <v>0.1</v>
      </c>
      <c r="K57" s="1468">
        <v>0.52</v>
      </c>
      <c r="L57" s="1482">
        <v>0.79</v>
      </c>
      <c r="N57" s="1527">
        <f t="shared" si="77"/>
        <v>1.420065760241713E-2</v>
      </c>
      <c r="O57" s="1528">
        <f t="shared" si="77"/>
        <v>3.3080938028376083E-3</v>
      </c>
      <c r="P57" s="1528">
        <f t="shared" si="78"/>
        <v>6.598984771573603E-2</v>
      </c>
      <c r="Q57" s="1528">
        <f t="shared" si="78"/>
        <v>5.2953117818293153E-3</v>
      </c>
      <c r="R57" s="1477"/>
      <c r="S57" s="1475"/>
      <c r="T57" s="1476"/>
      <c r="U57" s="1476"/>
      <c r="V57" s="1476"/>
      <c r="X57" s="1529"/>
      <c r="Y57" s="1529"/>
      <c r="Z57" s="1529"/>
    </row>
    <row r="58" spans="1:26">
      <c r="A58" s="1464" t="s">
        <v>1197</v>
      </c>
      <c r="B58" s="1480">
        <f t="shared" si="79"/>
        <v>122.57204301075269</v>
      </c>
      <c r="C58" s="1480">
        <f t="shared" si="79"/>
        <v>123.4932735426009</v>
      </c>
      <c r="D58" s="1480">
        <f t="shared" si="49"/>
        <v>123.4932735426009</v>
      </c>
      <c r="E58" s="1480">
        <f t="shared" si="80"/>
        <v>129.82233502538071</v>
      </c>
      <c r="F58" s="1480">
        <f t="shared" si="80"/>
        <v>107.39446721311475</v>
      </c>
      <c r="G58" s="3261">
        <v>2005</v>
      </c>
      <c r="H58" s="1467">
        <v>1</v>
      </c>
      <c r="I58" s="1467">
        <v>0.43</v>
      </c>
      <c r="J58" s="1467">
        <v>0.37</v>
      </c>
      <c r="K58" s="1467">
        <v>0.37</v>
      </c>
      <c r="L58" s="1481">
        <v>0.55000000000000004</v>
      </c>
      <c r="N58" s="1530">
        <f t="shared" si="77"/>
        <v>1.2992090997956099E-2</v>
      </c>
      <c r="O58" s="1531">
        <f t="shared" si="77"/>
        <v>1.2239947070499151E-2</v>
      </c>
      <c r="P58" s="1531">
        <f t="shared" si="78"/>
        <v>4.6954314720812178E-2</v>
      </c>
      <c r="Q58" s="1531">
        <f t="shared" si="78"/>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1198</v>
      </c>
      <c r="B59" s="1514">
        <v>121</v>
      </c>
      <c r="C59" s="1514">
        <v>122</v>
      </c>
      <c r="D59" s="1514">
        <f t="shared" si="49"/>
        <v>122</v>
      </c>
      <c r="E59" s="1514">
        <v>124</v>
      </c>
      <c r="F59" s="1515">
        <v>107</v>
      </c>
      <c r="G59" s="3259">
        <v>2004</v>
      </c>
      <c r="H59" s="1485">
        <v>4</v>
      </c>
      <c r="I59" s="1485">
        <v>0.33</v>
      </c>
      <c r="J59" s="1485">
        <v>0.5</v>
      </c>
      <c r="K59" s="1485">
        <v>0.5</v>
      </c>
      <c r="L59" s="1486">
        <v>0</v>
      </c>
      <c r="N59" s="1527">
        <f t="shared" ref="N59:O62" si="81">I59/SUM(I$59:I$62)*(B$59/B$63-1)</f>
        <v>1.3391770148526898E-2</v>
      </c>
      <c r="O59" s="1528">
        <f t="shared" si="81"/>
        <v>1.063264221158958E-2</v>
      </c>
      <c r="P59" s="1528">
        <f t="shared" ref="P59:Q62" si="82">K59/SUM(K$59:K$62)*(E$59/E$63-1)</f>
        <v>2.2244466688911134E-2</v>
      </c>
      <c r="Q59" s="1528">
        <f t="shared" si="82"/>
        <v>0</v>
      </c>
      <c r="R59" s="1477"/>
      <c r="S59" s="1478"/>
      <c r="T59" s="1479"/>
      <c r="U59" s="1479"/>
      <c r="V59" s="1479"/>
      <c r="X59" s="1529"/>
      <c r="Y59" s="1529"/>
      <c r="Z59" s="1529"/>
    </row>
    <row r="60" spans="1:26">
      <c r="A60" s="1464" t="s">
        <v>1199</v>
      </c>
      <c r="B60" s="1480">
        <f t="shared" ref="B60:C62" si="83">B61+(B$59-B$63)*I60/SUM(I$59:I$62)</f>
        <v>119.51351351351352</v>
      </c>
      <c r="C60" s="1480">
        <f t="shared" si="83"/>
        <v>120.7878787878788</v>
      </c>
      <c r="D60" s="1480">
        <f t="shared" si="49"/>
        <v>120.7878787878788</v>
      </c>
      <c r="E60" s="1480">
        <f t="shared" ref="E60:F62" si="84">E61+(E$59-E$63)*K60/SUM(K$59:K$62)</f>
        <v>121.5975975975976</v>
      </c>
      <c r="F60" s="1480">
        <f t="shared" si="84"/>
        <v>107</v>
      </c>
      <c r="G60" s="3260">
        <v>2004</v>
      </c>
      <c r="H60" s="1490">
        <v>3</v>
      </c>
      <c r="I60" s="1490">
        <v>0.56000000000000005</v>
      </c>
      <c r="J60" s="1490">
        <v>0.8</v>
      </c>
      <c r="K60" s="1490">
        <v>0.83</v>
      </c>
      <c r="L60" s="1491">
        <v>0.06</v>
      </c>
      <c r="N60" s="1527">
        <f t="shared" si="81"/>
        <v>2.2725428130833527E-2</v>
      </c>
      <c r="O60" s="1528">
        <f t="shared" si="81"/>
        <v>1.7012227538543329E-2</v>
      </c>
      <c r="P60" s="1528">
        <f t="shared" si="82"/>
        <v>3.6925814703592477E-2</v>
      </c>
      <c r="Q60" s="1528">
        <f t="shared" si="82"/>
        <v>2.8846153846153744E-2</v>
      </c>
      <c r="R60" s="1477"/>
      <c r="S60" s="1475"/>
      <c r="T60" s="1476"/>
      <c r="U60" s="1476"/>
      <c r="V60" s="1476"/>
      <c r="X60" s="1529"/>
      <c r="Y60" s="1529"/>
      <c r="Z60" s="1529"/>
    </row>
    <row r="61" spans="1:26">
      <c r="A61" s="1464" t="s">
        <v>1200</v>
      </c>
      <c r="B61" s="1480">
        <f t="shared" si="83"/>
        <v>116.99099099099099</v>
      </c>
      <c r="C61" s="1480">
        <f t="shared" si="83"/>
        <v>118.84848484848486</v>
      </c>
      <c r="D61" s="1480">
        <f t="shared" si="49"/>
        <v>118.84848484848486</v>
      </c>
      <c r="E61" s="1480">
        <f t="shared" si="84"/>
        <v>117.60960960960961</v>
      </c>
      <c r="F61" s="1480">
        <f t="shared" si="84"/>
        <v>104</v>
      </c>
      <c r="G61" s="3260">
        <v>2004</v>
      </c>
      <c r="H61" s="1468">
        <v>2</v>
      </c>
      <c r="I61" s="1468">
        <v>1</v>
      </c>
      <c r="J61" s="1468">
        <v>1.5</v>
      </c>
      <c r="K61" s="1468">
        <v>1.5</v>
      </c>
      <c r="L61" s="1482">
        <v>0</v>
      </c>
      <c r="N61" s="1527">
        <f t="shared" si="81"/>
        <v>4.0581121662202721E-2</v>
      </c>
      <c r="O61" s="1528">
        <f t="shared" si="81"/>
        <v>3.1897926634768738E-2</v>
      </c>
      <c r="P61" s="1528">
        <f t="shared" si="82"/>
        <v>6.6733400066733395E-2</v>
      </c>
      <c r="Q61" s="1528">
        <f t="shared" si="82"/>
        <v>0</v>
      </c>
      <c r="R61" s="1477"/>
      <c r="S61" s="1475"/>
      <c r="T61" s="1476"/>
      <c r="U61" s="1476"/>
      <c r="V61" s="1476"/>
      <c r="X61" s="1529"/>
      <c r="Y61" s="1529"/>
      <c r="Z61" s="1529"/>
    </row>
    <row r="62" spans="1:26" s="1520" customFormat="1" ht="13.5" thickBot="1">
      <c r="A62" s="1464" t="s">
        <v>1201</v>
      </c>
      <c r="B62" s="1517">
        <f t="shared" si="83"/>
        <v>112.48648648648648</v>
      </c>
      <c r="C62" s="1517">
        <f t="shared" si="83"/>
        <v>115.21212121212122</v>
      </c>
      <c r="D62" s="1517">
        <f t="shared" si="49"/>
        <v>115.21212121212122</v>
      </c>
      <c r="E62" s="1517">
        <f t="shared" si="84"/>
        <v>110.4024024024024</v>
      </c>
      <c r="F62" s="1517">
        <f t="shared" si="84"/>
        <v>104</v>
      </c>
      <c r="G62" s="3261">
        <v>2004</v>
      </c>
      <c r="H62" s="1518">
        <v>1</v>
      </c>
      <c r="I62" s="1518">
        <v>0.33</v>
      </c>
      <c r="J62" s="1518">
        <v>0.5</v>
      </c>
      <c r="K62" s="1518">
        <v>0.5</v>
      </c>
      <c r="L62" s="1519">
        <v>0</v>
      </c>
      <c r="N62" s="1532">
        <f t="shared" si="81"/>
        <v>1.3391770148526898E-2</v>
      </c>
      <c r="O62" s="1533">
        <f t="shared" si="81"/>
        <v>1.063264221158958E-2</v>
      </c>
      <c r="P62" s="1533">
        <f t="shared" si="82"/>
        <v>2.2244466688911134E-2</v>
      </c>
      <c r="Q62" s="1533">
        <f t="shared" si="82"/>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1202</v>
      </c>
      <c r="B63" s="1535">
        <v>111</v>
      </c>
      <c r="C63" s="1535">
        <v>114</v>
      </c>
      <c r="D63" s="1535">
        <f t="shared" si="49"/>
        <v>114</v>
      </c>
      <c r="E63" s="1535">
        <v>108</v>
      </c>
      <c r="F63" s="1536">
        <v>104</v>
      </c>
      <c r="G63" s="3259">
        <v>2003</v>
      </c>
      <c r="H63" s="1525">
        <v>4</v>
      </c>
      <c r="I63" s="1537"/>
      <c r="J63" s="1537"/>
      <c r="K63" s="1537"/>
      <c r="L63" s="1537"/>
      <c r="N63" s="1538"/>
      <c r="O63" s="1537"/>
      <c r="P63" s="1537"/>
      <c r="Q63" s="1537"/>
      <c r="S63" s="1538"/>
      <c r="T63" s="1537"/>
      <c r="U63" s="1537"/>
      <c r="V63" s="1537"/>
      <c r="X63" s="1529"/>
      <c r="Y63" s="1529"/>
      <c r="Z63" s="1529"/>
    </row>
    <row r="64" spans="1:26">
      <c r="A64" s="1464" t="s">
        <v>1203</v>
      </c>
      <c r="B64" s="1539">
        <f t="shared" ref="B64:C66" si="85">B65+(B$63-B$67)/4</f>
        <v>109.75</v>
      </c>
      <c r="C64" s="1539">
        <f t="shared" si="85"/>
        <v>112.25</v>
      </c>
      <c r="D64" s="1539">
        <f t="shared" si="49"/>
        <v>112.25</v>
      </c>
      <c r="E64" s="1539">
        <f t="shared" ref="E64:F66" si="86">E65+(E$63-E$67)/4</f>
        <v>107.25</v>
      </c>
      <c r="F64" s="1539">
        <f t="shared" si="86"/>
        <v>103.5</v>
      </c>
      <c r="G64" s="3260">
        <v>2003</v>
      </c>
      <c r="H64" s="1490">
        <v>3</v>
      </c>
      <c r="I64" s="1537"/>
      <c r="J64" s="1537"/>
      <c r="K64" s="1537"/>
      <c r="L64" s="1537"/>
      <c r="X64" s="1529"/>
      <c r="Y64" s="1529"/>
      <c r="Z64" s="1529"/>
    </row>
    <row r="65" spans="1:26">
      <c r="A65" s="1464" t="s">
        <v>1204</v>
      </c>
      <c r="B65" s="1539">
        <f t="shared" si="85"/>
        <v>108.5</v>
      </c>
      <c r="C65" s="1539">
        <f t="shared" si="85"/>
        <v>110.5</v>
      </c>
      <c r="D65" s="1539">
        <f t="shared" si="49"/>
        <v>110.5</v>
      </c>
      <c r="E65" s="1539">
        <f t="shared" si="86"/>
        <v>106.5</v>
      </c>
      <c r="F65" s="1539">
        <f t="shared" si="86"/>
        <v>103</v>
      </c>
      <c r="G65" s="3260">
        <v>2003</v>
      </c>
      <c r="H65" s="1468">
        <v>2</v>
      </c>
      <c r="I65" s="1537"/>
      <c r="J65" s="1537"/>
      <c r="K65" s="1537"/>
      <c r="L65" s="1537"/>
      <c r="X65" s="1529"/>
      <c r="Y65" s="1529"/>
      <c r="Z65" s="1529"/>
    </row>
    <row r="66" spans="1:26" ht="13.5" thickBot="1">
      <c r="A66" s="1464" t="s">
        <v>1205</v>
      </c>
      <c r="B66" s="1539">
        <f t="shared" si="85"/>
        <v>107.25</v>
      </c>
      <c r="C66" s="1539">
        <f t="shared" si="85"/>
        <v>108.75</v>
      </c>
      <c r="D66" s="1539">
        <f t="shared" si="49"/>
        <v>108.75</v>
      </c>
      <c r="E66" s="1539">
        <f t="shared" si="86"/>
        <v>105.75</v>
      </c>
      <c r="F66" s="1539">
        <f t="shared" si="86"/>
        <v>102.5</v>
      </c>
      <c r="G66" s="3261">
        <v>2003</v>
      </c>
      <c r="H66" s="1540">
        <v>1</v>
      </c>
      <c r="I66" s="1537"/>
      <c r="J66" s="1537"/>
      <c r="K66" s="1537"/>
      <c r="L66" s="1537"/>
      <c r="S66" s="1475"/>
      <c r="T66" s="1476"/>
      <c r="U66" s="1476"/>
      <c r="X66" s="1529"/>
      <c r="Y66" s="1529"/>
      <c r="Z66" s="1529"/>
    </row>
    <row r="67" spans="1:26" ht="13.5" thickBot="1">
      <c r="A67" s="1464" t="s">
        <v>1206</v>
      </c>
      <c r="B67" s="1541">
        <v>106</v>
      </c>
      <c r="C67" s="1541">
        <v>107</v>
      </c>
      <c r="D67" s="1541">
        <f t="shared" si="49"/>
        <v>107</v>
      </c>
      <c r="E67" s="1541">
        <v>105</v>
      </c>
      <c r="F67" s="1542">
        <v>102</v>
      </c>
      <c r="G67" s="3259">
        <v>2002</v>
      </c>
      <c r="H67" s="1485">
        <v>4</v>
      </c>
      <c r="I67" s="1537"/>
      <c r="J67" s="1537"/>
      <c r="K67" s="1537"/>
      <c r="L67" s="1537"/>
      <c r="N67" s="1538"/>
      <c r="O67" s="1537"/>
      <c r="P67" s="1537"/>
      <c r="Q67" s="1537"/>
      <c r="S67" s="1538"/>
      <c r="T67" s="1537"/>
      <c r="U67" s="1537"/>
      <c r="V67" s="1537"/>
      <c r="X67" s="1529"/>
      <c r="Y67" s="1529"/>
      <c r="Z67" s="1529"/>
    </row>
    <row r="68" spans="1:26">
      <c r="A68" s="1464" t="s">
        <v>1207</v>
      </c>
      <c r="B68" s="1539">
        <f t="shared" ref="B68:C70" si="87">B69+(B$67-B$71)/4</f>
        <v>105</v>
      </c>
      <c r="C68" s="1539">
        <f t="shared" si="87"/>
        <v>106</v>
      </c>
      <c r="D68" s="1539">
        <f t="shared" si="49"/>
        <v>106</v>
      </c>
      <c r="E68" s="1539">
        <f t="shared" ref="E68:F70" si="88">E69+(E$67-E$71)/4</f>
        <v>104.5</v>
      </c>
      <c r="F68" s="1539">
        <f t="shared" si="88"/>
        <v>101.5</v>
      </c>
      <c r="G68" s="3260">
        <v>2002</v>
      </c>
      <c r="H68" s="1490">
        <v>3</v>
      </c>
      <c r="I68" s="1537"/>
      <c r="J68" s="1537"/>
      <c r="K68" s="1537"/>
      <c r="L68" s="1537"/>
      <c r="X68" s="1529"/>
      <c r="Y68" s="1529"/>
      <c r="Z68" s="1529"/>
    </row>
    <row r="69" spans="1:26">
      <c r="A69" s="1464" t="s">
        <v>1208</v>
      </c>
      <c r="B69" s="1539">
        <f t="shared" si="87"/>
        <v>104</v>
      </c>
      <c r="C69" s="1539">
        <f t="shared" si="87"/>
        <v>105</v>
      </c>
      <c r="D69" s="1539">
        <f t="shared" si="49"/>
        <v>105</v>
      </c>
      <c r="E69" s="1539">
        <f t="shared" si="88"/>
        <v>104</v>
      </c>
      <c r="F69" s="1539">
        <f t="shared" si="88"/>
        <v>101</v>
      </c>
      <c r="G69" s="3260">
        <v>2002</v>
      </c>
      <c r="H69" s="1468">
        <v>2</v>
      </c>
      <c r="I69" s="1537"/>
      <c r="J69" s="1537"/>
      <c r="K69" s="1537"/>
      <c r="L69" s="1537"/>
      <c r="X69" s="1529"/>
      <c r="Y69" s="1529"/>
      <c r="Z69" s="1529"/>
    </row>
    <row r="70" spans="1:26" s="1501" customFormat="1" ht="13.5" thickBot="1">
      <c r="A70" s="1497" t="s">
        <v>1209</v>
      </c>
      <c r="B70" s="1543">
        <f t="shared" si="87"/>
        <v>103</v>
      </c>
      <c r="C70" s="1543">
        <f t="shared" si="87"/>
        <v>104</v>
      </c>
      <c r="D70" s="1543">
        <f t="shared" si="49"/>
        <v>104</v>
      </c>
      <c r="E70" s="1543">
        <f t="shared" si="88"/>
        <v>103.5</v>
      </c>
      <c r="F70" s="1543">
        <f t="shared" si="88"/>
        <v>100.5</v>
      </c>
      <c r="G70" s="3261">
        <v>2002</v>
      </c>
      <c r="H70" s="1544">
        <v>1</v>
      </c>
      <c r="I70" s="1545"/>
      <c r="J70" s="1545"/>
      <c r="K70" s="1545"/>
      <c r="L70" s="1545"/>
      <c r="N70" s="1546"/>
      <c r="S70" s="1546"/>
      <c r="X70" s="1547"/>
      <c r="Y70" s="1547"/>
      <c r="Z70" s="1547"/>
    </row>
    <row r="71" spans="1:26" ht="13.5" thickBot="1">
      <c r="B71" s="1548">
        <v>102</v>
      </c>
      <c r="C71" s="1549">
        <v>103</v>
      </c>
      <c r="D71" s="1549">
        <f t="shared" si="49"/>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1210</v>
      </c>
      <c r="G73" s="1553"/>
      <c r="N73" s="1553"/>
      <c r="S73" s="1553"/>
    </row>
    <row r="74" spans="1:26" s="1552" customFormat="1">
      <c r="A74" s="1552" t="s">
        <v>1211</v>
      </c>
      <c r="G74" s="1553"/>
      <c r="N74" s="1553"/>
      <c r="S74" s="1553"/>
    </row>
    <row r="75" spans="1:26" s="1552" customFormat="1">
      <c r="A75" s="1552" t="s">
        <v>1212</v>
      </c>
      <c r="G75" s="1553"/>
      <c r="I75" s="1554"/>
      <c r="J75" s="1554"/>
      <c r="K75" s="1554"/>
      <c r="L75" s="1554"/>
      <c r="N75" s="1555"/>
      <c r="O75" s="1554"/>
      <c r="P75" s="1554"/>
      <c r="Q75" s="1554"/>
      <c r="S75" s="1555"/>
      <c r="T75" s="1554"/>
      <c r="U75" s="1554"/>
      <c r="V75" s="1554"/>
    </row>
    <row r="76" spans="1:26" s="1552" customFormat="1">
      <c r="A76" s="1552" t="s">
        <v>1213</v>
      </c>
      <c r="G76" s="1553"/>
      <c r="N76" s="1553"/>
      <c r="S76" s="1553"/>
    </row>
    <row r="83" spans="7:22" ht="13.5" thickBot="1"/>
    <row r="84" spans="7:22">
      <c r="G84" s="1474"/>
      <c r="S84" s="1556" t="s">
        <v>1214</v>
      </c>
      <c r="T84" s="1557" t="s">
        <v>1215</v>
      </c>
      <c r="U84" s="1557" t="s">
        <v>1216</v>
      </c>
      <c r="V84" s="1557" t="s">
        <v>1217</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A25" sqref="A25"/>
      <selection pane="bottomLeft" activeCell="A25" sqref="A25"/>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2981</v>
      </c>
      <c r="C1" s="3270" t="s">
        <v>2982</v>
      </c>
      <c r="D1" s="3271"/>
      <c r="E1" s="3271"/>
      <c r="F1" s="3271"/>
      <c r="G1" s="3271"/>
      <c r="H1" s="3271"/>
      <c r="I1" s="3271"/>
      <c r="J1" s="3271"/>
      <c r="K1" s="3271"/>
      <c r="L1" s="3271"/>
      <c r="M1" s="3271"/>
      <c r="N1" s="3271"/>
      <c r="O1" s="3271"/>
      <c r="P1" s="3271"/>
      <c r="Q1" s="3271"/>
      <c r="R1" s="3271"/>
      <c r="S1" s="3272"/>
      <c r="T1" s="1207" t="s">
        <v>2983</v>
      </c>
    </row>
    <row r="2" spans="1:45" s="707" customFormat="1">
      <c r="A2" s="1208"/>
      <c r="B2" s="703" t="s">
        <v>2984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2985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2986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2987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2988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2989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2990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2991</v>
      </c>
      <c r="B17" s="2921" t="s">
        <v>2992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2993</v>
      </c>
      <c r="E19" s="1795"/>
      <c r="F19" s="1795"/>
      <c r="G19" s="1795"/>
      <c r="H19" s="1283"/>
      <c r="I19" s="168"/>
      <c r="J19" s="168"/>
      <c r="K19" s="168"/>
      <c r="L19" s="168"/>
      <c r="M19" s="168"/>
      <c r="N19" s="168"/>
      <c r="O19" s="168"/>
      <c r="P19" s="168"/>
      <c r="Q19" s="168"/>
      <c r="R19" s="788"/>
      <c r="S19" s="138"/>
    </row>
    <row r="20" spans="1:45" ht="16.5" thickBot="1">
      <c r="A20" s="715" t="s">
        <v>2994</v>
      </c>
      <c r="B20" s="338">
        <f>IF(D20="——",S22,S22-F20)</f>
        <v>100</v>
      </c>
      <c r="C20" s="168"/>
      <c r="D20" s="2923" t="s">
        <v>69</v>
      </c>
      <c r="E20" s="1796"/>
      <c r="F20" s="1207" t="e">
        <f ca="1">SUMIF(INDIRECT("'"&amp;H20&amp;"'"&amp;"!A:A"),"承租人权益价值",INDIRECT("'"&amp;H20&amp;"'"&amp;"!c:c"))</f>
        <v>#REF!</v>
      </c>
      <c r="G20" s="1207" t="s">
        <v>2995</v>
      </c>
      <c r="H20" s="2924"/>
      <c r="I20" s="168"/>
      <c r="J20" s="168"/>
      <c r="K20" s="168"/>
      <c r="L20" s="168"/>
      <c r="M20" s="168"/>
      <c r="N20" s="168"/>
      <c r="O20" s="168"/>
      <c r="P20" s="168"/>
      <c r="Q20" s="168"/>
      <c r="R20" s="788"/>
      <c r="S20" s="138"/>
    </row>
    <row r="21" spans="1:45" ht="15.75">
      <c r="A21" s="715" t="s">
        <v>2996</v>
      </c>
      <c r="B21" s="338">
        <f>R22</f>
        <v>10000</v>
      </c>
      <c r="C21" s="168"/>
      <c r="D21" s="168"/>
      <c r="E21" s="168"/>
      <c r="F21" s="168"/>
      <c r="G21" s="168"/>
      <c r="H21" s="168"/>
      <c r="I21" s="168"/>
      <c r="J21" s="168"/>
      <c r="K21" s="168"/>
      <c r="L21" s="168"/>
      <c r="M21" s="168"/>
      <c r="N21" s="168"/>
      <c r="O21" s="168"/>
      <c r="P21" s="168"/>
      <c r="Q21" s="168"/>
      <c r="R21" s="788"/>
      <c r="S21" s="138"/>
    </row>
    <row r="22" spans="1:45">
      <c r="A22" s="361" t="s">
        <v>2997</v>
      </c>
      <c r="B22" s="24">
        <f>SUM(B24:B10000)</f>
        <v>100</v>
      </c>
      <c r="C22" s="3133" t="s">
        <v>32</v>
      </c>
      <c r="D22" s="3134"/>
      <c r="E22" s="3134"/>
      <c r="F22" s="3134"/>
      <c r="G22" s="3134"/>
      <c r="H22" s="3134"/>
      <c r="I22" s="3134"/>
      <c r="J22" s="3134"/>
      <c r="K22" s="3134"/>
      <c r="L22" s="3134"/>
      <c r="M22" s="3134"/>
      <c r="N22" s="3134"/>
      <c r="O22" s="3134"/>
      <c r="P22" s="3134"/>
      <c r="Q22" s="3269"/>
      <c r="R22" s="716">
        <f>ROUND(S22*10000/B22,0)</f>
        <v>10000</v>
      </c>
      <c r="S22" s="24">
        <f>SUM(S24:S10000)</f>
        <v>100</v>
      </c>
    </row>
    <row r="23" spans="1:45" s="12" customFormat="1" ht="24">
      <c r="A23" s="11" t="s">
        <v>2998</v>
      </c>
      <c r="B23" s="11" t="s">
        <v>2999</v>
      </c>
      <c r="C23" s="11" t="s">
        <v>3000</v>
      </c>
      <c r="D23" s="11" t="str">
        <f>B5</f>
        <v>修正项2</v>
      </c>
      <c r="E23" s="11" t="s">
        <v>3000</v>
      </c>
      <c r="F23" s="11" t="str">
        <f>B7</f>
        <v>修正项3</v>
      </c>
      <c r="G23" s="11" t="s">
        <v>3000</v>
      </c>
      <c r="H23" s="11" t="str">
        <f>B9</f>
        <v>修正项4</v>
      </c>
      <c r="I23" s="11" t="s">
        <v>3000</v>
      </c>
      <c r="J23" s="11" t="str">
        <f>B11</f>
        <v>修正项5</v>
      </c>
      <c r="K23" s="11" t="s">
        <v>3000</v>
      </c>
      <c r="L23" s="11" t="str">
        <f>B13</f>
        <v>修正项6</v>
      </c>
      <c r="M23" s="11" t="s">
        <v>3000</v>
      </c>
      <c r="N23" s="11" t="str">
        <f>B15</f>
        <v>修正项7</v>
      </c>
      <c r="O23" s="11" t="s">
        <v>3000</v>
      </c>
      <c r="P23" s="11" t="str">
        <f>B17</f>
        <v>楼层</v>
      </c>
      <c r="Q23" s="11" t="s">
        <v>3000</v>
      </c>
      <c r="R23" s="717" t="s">
        <v>3001</v>
      </c>
      <c r="S23" s="11" t="s">
        <v>3002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3003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29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7"/>
      <c r="C2" s="2957"/>
      <c r="D2" s="2957"/>
      <c r="E2" s="2957"/>
    </row>
    <row r="3" spans="1:5" ht="18">
      <c r="A3" s="2958" t="str">
        <f>IF(项目基本情况!B9="房地产市场价值","估价结果一览表（市场价值不需“结果表-1”）","估价结果一览表")</f>
        <v>估价结果一览表</v>
      </c>
      <c r="B3" s="2958"/>
      <c r="C3" s="2958"/>
      <c r="D3" s="2958"/>
      <c r="E3" s="2958"/>
    </row>
    <row r="4" spans="1:5" ht="19.5" thickBot="1">
      <c r="A4" s="1964"/>
      <c r="B4" s="2956" t="s">
        <v>1629</v>
      </c>
      <c r="C4" s="2956"/>
      <c r="D4" s="2956"/>
      <c r="E4" s="1964"/>
    </row>
    <row r="5" spans="1:5" ht="16.5" thickTop="1">
      <c r="A5" s="1962"/>
      <c r="B5" s="2954" t="s">
        <v>1621</v>
      </c>
      <c r="C5" s="1965" t="s">
        <v>1622</v>
      </c>
      <c r="D5" s="1043">
        <f ca="1">结果表!H101</f>
        <v>10036</v>
      </c>
      <c r="E5" s="1962"/>
    </row>
    <row r="6" spans="1:5" ht="15.75">
      <c r="A6" s="1962"/>
      <c r="B6" s="2954"/>
      <c r="C6" s="1965" t="s">
        <v>1623</v>
      </c>
      <c r="D6" s="1043" t="str">
        <f ca="1">NUMBERSTRING(INT(D5*10000),2)&amp;"元整"</f>
        <v>壹亿零叁拾陆万元整</v>
      </c>
      <c r="E6" s="1962"/>
    </row>
    <row r="7" spans="1:5" ht="15.75">
      <c r="A7" s="1962"/>
      <c r="B7" s="2959"/>
      <c r="C7" s="1966" t="s">
        <v>1624</v>
      </c>
      <c r="D7" s="1044">
        <f ca="1">结果表!H102</f>
        <v>6140</v>
      </c>
      <c r="E7" s="1962"/>
    </row>
    <row r="8" spans="1:5" ht="15.75">
      <c r="A8" s="1962"/>
      <c r="B8" s="2960" t="str">
        <f>结果表!E103</f>
        <v>2.估价师知悉的法定优先受偿款</v>
      </c>
      <c r="C8" s="1967" t="s">
        <v>1625</v>
      </c>
      <c r="D8" s="1044">
        <f>结果表!H103</f>
        <v>0</v>
      </c>
      <c r="E8" s="1962"/>
    </row>
    <row r="9" spans="1:5" ht="15.75">
      <c r="A9" s="1962"/>
      <c r="B9" s="2962"/>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2953" t="str">
        <f>结果表!E107</f>
        <v>3.房地产抵押价值</v>
      </c>
      <c r="C13" s="1970" t="s">
        <v>1622</v>
      </c>
      <c r="D13" s="1046">
        <f ca="1">结果表!H107</f>
        <v>10036</v>
      </c>
      <c r="E13" s="1962"/>
    </row>
    <row r="14" spans="1:5" ht="15.75">
      <c r="A14" s="1962"/>
      <c r="B14" s="2954"/>
      <c r="C14" s="1965" t="s">
        <v>1623</v>
      </c>
      <c r="D14" s="1043" t="str">
        <f ca="1">NUMBERSTRING(INT(D13*10000),2)&amp;"元整"</f>
        <v>壹亿零叁拾陆万元整</v>
      </c>
      <c r="E14" s="1962"/>
    </row>
    <row r="15" spans="1:5" ht="15">
      <c r="A15" s="1962"/>
      <c r="B15" s="2959"/>
      <c r="C15" s="1966" t="s">
        <v>1633</v>
      </c>
      <c r="D15" s="1055">
        <f ca="1">结果表!H108</f>
        <v>6140</v>
      </c>
      <c r="E15" s="1962"/>
    </row>
    <row r="16" spans="1:5" ht="15">
      <c r="A16" s="1962"/>
      <c r="B16" s="2960" t="str">
        <f>结果表!E109</f>
        <v>——</v>
      </c>
      <c r="C16" s="1970" t="s">
        <v>1634</v>
      </c>
      <c r="D16" s="1971" t="str">
        <f>结果表!H109</f>
        <v>——</v>
      </c>
      <c r="E16" s="1962"/>
    </row>
    <row r="17" spans="1:5" ht="15.75">
      <c r="A17" s="1962"/>
      <c r="B17" s="2961"/>
      <c r="C17" s="1965" t="s">
        <v>1635</v>
      </c>
      <c r="D17" s="1043" t="e">
        <f>NUMBERSTRING(INT(D16*10000),2)&amp;"元整"</f>
        <v>#VALUE!</v>
      </c>
      <c r="E17" s="1962"/>
    </row>
    <row r="18" spans="1:5" ht="15">
      <c r="A18" s="1962"/>
      <c r="B18" s="2962"/>
      <c r="C18" s="1966" t="s">
        <v>1624</v>
      </c>
      <c r="D18" s="1055" t="str">
        <f>结果表!H110</f>
        <v>——</v>
      </c>
      <c r="E18" s="1962"/>
    </row>
    <row r="19" spans="1:5" ht="15.75">
      <c r="A19" s="1962"/>
      <c r="B19" s="2953" t="str">
        <f>结果表!E111</f>
        <v>——</v>
      </c>
      <c r="C19" s="1970" t="s">
        <v>1622</v>
      </c>
      <c r="D19" s="1044" t="str">
        <f>结果表!H111</f>
        <v>——</v>
      </c>
      <c r="E19" s="1962"/>
    </row>
    <row r="20" spans="1:5" ht="15.75">
      <c r="A20" s="1962"/>
      <c r="B20" s="2954"/>
      <c r="C20" s="1965" t="s">
        <v>1635</v>
      </c>
      <c r="D20" s="1043" t="e">
        <f>NUMBERSTRING(INT(D19*10000),2)&amp;"元整"</f>
        <v>#VALUE!</v>
      </c>
      <c r="E20" s="1962"/>
    </row>
    <row r="21" spans="1:5" ht="15.75" thickBot="1">
      <c r="A21" s="1962"/>
      <c r="B21" s="2955"/>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82</v>
      </c>
      <c r="B1" s="241"/>
      <c r="C1" s="242"/>
      <c r="D1" s="242"/>
      <c r="E1" s="242"/>
      <c r="F1" s="242"/>
      <c r="G1" s="243"/>
    </row>
    <row r="2" spans="1:7" s="244" customFormat="1" ht="18" customHeight="1">
      <c r="A2" s="245" t="s">
        <v>83</v>
      </c>
      <c r="B2" s="246">
        <f ca="1">C52</f>
        <v>31729</v>
      </c>
      <c r="C2" s="2" t="s">
        <v>132</v>
      </c>
      <c r="D2" s="243"/>
      <c r="E2" s="243"/>
      <c r="F2" s="243"/>
      <c r="G2" s="243"/>
    </row>
    <row r="3" spans="1:7" s="244" customFormat="1" ht="18" customHeight="1" thickBot="1">
      <c r="A3" s="247" t="s">
        <v>84</v>
      </c>
      <c r="B3" s="248">
        <f ca="1">ROUND(B2*10000/'数据-汇总表'!E3,0)</f>
        <v>19410</v>
      </c>
      <c r="C3" s="2" t="s">
        <v>133</v>
      </c>
      <c r="D3" s="243"/>
      <c r="E3" s="243"/>
      <c r="F3" s="243"/>
      <c r="G3" s="243"/>
    </row>
    <row r="4" spans="1:7" s="252" customFormat="1" ht="15.75">
      <c r="A4" s="249" t="s">
        <v>85</v>
      </c>
      <c r="B4" s="250"/>
      <c r="C4" s="250"/>
      <c r="D4" s="250"/>
      <c r="E4" s="250"/>
      <c r="F4" s="250"/>
      <c r="G4" s="251"/>
    </row>
    <row r="5" spans="1:7" s="258" customFormat="1" ht="13.5" customHeight="1">
      <c r="A5" s="299" t="s">
        <v>1053</v>
      </c>
      <c r="B5" s="254" t="s">
        <v>86</v>
      </c>
      <c r="C5" s="255">
        <f>C6+C7+C8</f>
        <v>20610</v>
      </c>
      <c r="D5" s="255" t="s">
        <v>87</v>
      </c>
      <c r="E5" s="256" t="s">
        <v>88</v>
      </c>
      <c r="F5" s="256" t="s">
        <v>89</v>
      </c>
      <c r="G5" s="257"/>
    </row>
    <row r="6" spans="1:7" s="258" customFormat="1" ht="13.5" customHeight="1">
      <c r="A6" s="952" t="s">
        <v>790</v>
      </c>
      <c r="B6" s="259" t="s">
        <v>90</v>
      </c>
      <c r="C6" s="260">
        <v>20000</v>
      </c>
      <c r="D6" s="261"/>
      <c r="E6" s="262"/>
      <c r="F6" s="262"/>
      <c r="G6" s="263"/>
    </row>
    <row r="7" spans="1:7" s="258" customFormat="1" ht="13.5" customHeight="1">
      <c r="A7" s="952" t="s">
        <v>791</v>
      </c>
      <c r="B7" s="259" t="s">
        <v>56</v>
      </c>
      <c r="C7" s="264">
        <f>ROUND(C6*F7,0)</f>
        <v>610</v>
      </c>
      <c r="D7" s="264"/>
      <c r="E7" s="262"/>
      <c r="F7" s="265">
        <f>'数据-取费表'!B48+'数据-取费表'!B49</f>
        <v>3.0499999999999999E-2</v>
      </c>
      <c r="G7" s="263"/>
    </row>
    <row r="8" spans="1:7" s="267" customFormat="1">
      <c r="A8" s="952" t="s">
        <v>792</v>
      </c>
      <c r="B8" s="259" t="s">
        <v>91</v>
      </c>
      <c r="C8" s="264" t="str">
        <f>IF(G8="已包含在土地购买价格中","0",'数据-取费表'!B29)</f>
        <v>0</v>
      </c>
      <c r="D8" s="266"/>
      <c r="E8" s="264"/>
      <c r="F8" s="265"/>
      <c r="G8" s="1" t="s">
        <v>1147</v>
      </c>
    </row>
    <row r="9" spans="1:7" s="258" customFormat="1" ht="13.5" customHeight="1">
      <c r="A9" s="953" t="s">
        <v>799</v>
      </c>
      <c r="B9" s="268" t="s">
        <v>92</v>
      </c>
      <c r="C9" s="269">
        <f>ROUND(D9*E9/10000,0)</f>
        <v>0</v>
      </c>
      <c r="D9" s="1035">
        <f>'数据-汇总表'!E5</f>
        <v>0</v>
      </c>
      <c r="E9" s="269">
        <f>'数据-取费表'!B27</f>
        <v>0</v>
      </c>
      <c r="F9" s="265"/>
      <c r="G9" s="270"/>
    </row>
    <row r="10" spans="1:7" s="258" customFormat="1" ht="13.5" customHeight="1">
      <c r="A10" s="953" t="s">
        <v>800</v>
      </c>
      <c r="B10" s="268" t="s">
        <v>93</v>
      </c>
      <c r="C10" s="269">
        <f>ROUND(D10*E10/10000,0)</f>
        <v>0</v>
      </c>
      <c r="D10" s="1035">
        <f>'数据-汇总表'!E6</f>
        <v>16346.349999999999</v>
      </c>
      <c r="E10" s="269">
        <f>'数据-取费表'!B28</f>
        <v>0</v>
      </c>
      <c r="F10" s="265"/>
      <c r="G10" s="270"/>
    </row>
    <row r="11" spans="1:7" s="258" customFormat="1" ht="13.5" hidden="1" customHeight="1">
      <c r="A11" s="271" t="s">
        <v>7</v>
      </c>
      <c r="B11" s="259" t="s">
        <v>94</v>
      </c>
      <c r="C11" s="255"/>
      <c r="D11" s="1037"/>
      <c r="E11" s="262"/>
      <c r="F11" s="262"/>
      <c r="G11" s="263"/>
    </row>
    <row r="12" spans="1:7" s="258" customFormat="1" ht="13.5" hidden="1" customHeight="1">
      <c r="A12" s="271" t="s">
        <v>8</v>
      </c>
      <c r="B12" s="259" t="s">
        <v>95</v>
      </c>
      <c r="C12" s="255">
        <v>0</v>
      </c>
      <c r="D12" s="1037"/>
      <c r="E12" s="272"/>
      <c r="F12" s="265">
        <v>3.0499999999999999E-2</v>
      </c>
      <c r="G12" s="263"/>
    </row>
    <row r="13" spans="1:7" s="258" customFormat="1" ht="13.5" hidden="1" customHeight="1">
      <c r="A13" s="271" t="s">
        <v>9</v>
      </c>
      <c r="B13" s="259" t="s">
        <v>96</v>
      </c>
      <c r="C13" s="255"/>
      <c r="D13" s="1037"/>
      <c r="E13" s="262"/>
      <c r="F13" s="262"/>
      <c r="G13" s="263"/>
    </row>
    <row r="14" spans="1:7" s="258" customFormat="1" ht="13.5" hidden="1" customHeight="1">
      <c r="A14" s="271" t="s">
        <v>10</v>
      </c>
      <c r="B14" s="259" t="s">
        <v>91</v>
      </c>
      <c r="C14" s="255"/>
      <c r="D14" s="1037"/>
      <c r="E14" s="262"/>
      <c r="F14" s="262"/>
      <c r="G14" s="263" t="s">
        <v>97</v>
      </c>
    </row>
    <row r="15" spans="1:7" s="258" customFormat="1" ht="13.5" hidden="1" customHeight="1">
      <c r="A15" s="271" t="s">
        <v>11</v>
      </c>
      <c r="B15" s="259" t="s">
        <v>98</v>
      </c>
      <c r="C15" s="264"/>
      <c r="D15" s="1037"/>
      <c r="E15" s="262"/>
      <c r="F15" s="262"/>
      <c r="G15" s="263" t="s">
        <v>99</v>
      </c>
    </row>
    <row r="16" spans="1:7" s="258" customFormat="1" ht="13.5" hidden="1" customHeight="1">
      <c r="A16" s="271" t="s">
        <v>12</v>
      </c>
      <c r="B16" s="259" t="s">
        <v>91</v>
      </c>
      <c r="C16" s="264"/>
      <c r="D16" s="1037"/>
      <c r="E16" s="262"/>
      <c r="F16" s="262"/>
      <c r="G16" s="263"/>
    </row>
    <row r="17" spans="1:7" s="258" customFormat="1" ht="13.5" hidden="1" customHeight="1">
      <c r="A17" s="271" t="s">
        <v>13</v>
      </c>
      <c r="B17" s="259" t="s">
        <v>100</v>
      </c>
      <c r="C17" s="273"/>
      <c r="D17" s="1038"/>
      <c r="E17" s="273"/>
      <c r="F17" s="273"/>
      <c r="G17" s="263" t="s">
        <v>99</v>
      </c>
    </row>
    <row r="18" spans="1:7" s="258" customFormat="1" ht="13.5" hidden="1" customHeight="1">
      <c r="A18" s="271" t="s">
        <v>14</v>
      </c>
      <c r="B18" s="259" t="s">
        <v>101</v>
      </c>
      <c r="C18" s="264">
        <v>0</v>
      </c>
      <c r="D18" s="1037"/>
      <c r="E18" s="262"/>
      <c r="F18" s="265">
        <v>3.0499999999999999E-2</v>
      </c>
      <c r="G18" s="263" t="s">
        <v>102</v>
      </c>
    </row>
    <row r="19" spans="1:7" s="267" customFormat="1" ht="13.5" customHeight="1">
      <c r="A19" s="951" t="s">
        <v>1054</v>
      </c>
      <c r="B19" s="254" t="s">
        <v>110</v>
      </c>
      <c r="C19" s="255">
        <f>IF(G19="已包含在土地取得成本中","0",ROUND(D19*E19/10000,0))</f>
        <v>327</v>
      </c>
      <c r="D19" s="1039">
        <f>'数据-汇总表'!E3</f>
        <v>16346.349999999999</v>
      </c>
      <c r="E19" s="255">
        <f>'数据-取费表'!B31</f>
        <v>200</v>
      </c>
      <c r="F19" s="275"/>
      <c r="G19" s="1" t="s">
        <v>1073</v>
      </c>
    </row>
    <row r="20" spans="1:7" s="258" customFormat="1" ht="13.5" customHeight="1">
      <c r="A20" s="951" t="s">
        <v>1056</v>
      </c>
      <c r="B20" s="254" t="s">
        <v>103</v>
      </c>
      <c r="C20" s="276">
        <f>ROUND((C5+C19)*F20,0)</f>
        <v>419</v>
      </c>
      <c r="D20" s="276"/>
      <c r="E20" s="276"/>
      <c r="F20" s="277">
        <f>'数据-取费表'!B37</f>
        <v>0.02</v>
      </c>
      <c r="G20" s="1292" t="s">
        <v>1067</v>
      </c>
    </row>
    <row r="21" spans="1:7" s="258" customFormat="1" ht="13.5" customHeight="1">
      <c r="A21" s="951" t="s">
        <v>1058</v>
      </c>
      <c r="B21" s="254" t="s">
        <v>104</v>
      </c>
      <c r="C21" s="279">
        <f>F21</f>
        <v>0.02</v>
      </c>
      <c r="D21" s="280" t="s">
        <v>125</v>
      </c>
      <c r="E21" s="276"/>
      <c r="F21" s="277">
        <f>'数据-取费表'!B38</f>
        <v>0.02</v>
      </c>
      <c r="G21" s="278" t="s">
        <v>105</v>
      </c>
    </row>
    <row r="22" spans="1:7" s="258" customFormat="1" ht="13.5" customHeight="1">
      <c r="A22" s="951" t="s">
        <v>785</v>
      </c>
      <c r="B22" s="254" t="s">
        <v>106</v>
      </c>
      <c r="C22" s="1357">
        <f ca="1">ROUND(SUM(C23:C25),0)</f>
        <v>920</v>
      </c>
      <c r="D22" s="279">
        <f ca="1">C26</f>
        <v>4.0000000000000002E-4</v>
      </c>
      <c r="E22" s="280" t="s">
        <v>125</v>
      </c>
      <c r="F22" s="281">
        <f ca="1">'数据-取费表'!B40</f>
        <v>4.3499999999999997E-2</v>
      </c>
      <c r="G22" s="1292" t="str">
        <f>IF('数据-取费表'!B22&lt;=1,"单利计息","复利计息")</f>
        <v>单利计息</v>
      </c>
    </row>
    <row r="23" spans="1:7" s="258" customFormat="1" ht="13.5" customHeight="1">
      <c r="A23" s="954" t="s">
        <v>793</v>
      </c>
      <c r="B23" s="259" t="s">
        <v>1060</v>
      </c>
      <c r="C23" s="1358">
        <f ca="1">ROUND(IF('数据-取费表'!B22&lt;=1,C5*F22*'数据-取费表'!B23,C5*(POWER((1+F22),'数据-取费表'!B23)-1)),0)</f>
        <v>897</v>
      </c>
      <c r="D23" s="282"/>
      <c r="E23" s="282"/>
      <c r="F23" s="283"/>
      <c r="G23" s="284" t="s">
        <v>107</v>
      </c>
    </row>
    <row r="24" spans="1:7" s="258" customFormat="1" ht="13.5" customHeight="1">
      <c r="A24" s="954" t="s">
        <v>791</v>
      </c>
      <c r="B24" s="259" t="s">
        <v>1055</v>
      </c>
      <c r="C24" s="1358">
        <f ca="1">ROUND(IF('数据-取费表'!B22&lt;=1,C19*F22*('数据-取费表'!B19/2+'数据-取费表'!B21),C19*(POWER((1+F22),('数据-取费表'!B19/2+'数据-取费表'!B21))-1)),0)</f>
        <v>14</v>
      </c>
      <c r="D24" s="282"/>
      <c r="E24" s="282"/>
      <c r="F24" s="283"/>
      <c r="G24" s="284" t="s">
        <v>108</v>
      </c>
    </row>
    <row r="25" spans="1:7" s="258" customFormat="1" ht="24">
      <c r="A25" s="954" t="s">
        <v>792</v>
      </c>
      <c r="B25" s="259" t="s">
        <v>1057</v>
      </c>
      <c r="C25" s="1358">
        <f ca="1">ROUND(IF('数据-取费表'!B22&lt;=1,C20*F22*'数据-取费表'!B23/2,C20*(POWER((1+F22),'数据-取费表'!B23/2)-1)),0)</f>
        <v>9</v>
      </c>
      <c r="D25" s="282"/>
      <c r="E25" s="285"/>
      <c r="F25" s="283"/>
      <c r="G25" s="286" t="s">
        <v>109</v>
      </c>
    </row>
    <row r="26" spans="1:7" s="258" customFormat="1">
      <c r="A26" s="954" t="s">
        <v>794</v>
      </c>
      <c r="B26" s="259" t="s">
        <v>1059</v>
      </c>
      <c r="C26" s="282">
        <f ca="1">ROUND(IF('数据-取费表'!B22&lt;=1,F21*F22*'数据-取费表'!B23/2,F21*(POWER((1+F22),'数据-取费表'!B23/2)-1)),4)</f>
        <v>4.0000000000000002E-4</v>
      </c>
      <c r="D26" s="282"/>
      <c r="E26" s="285"/>
      <c r="F26" s="283"/>
      <c r="G26" s="287"/>
    </row>
    <row r="27" spans="1:7" s="258" customFormat="1" ht="24.75">
      <c r="A27" s="951" t="s">
        <v>786</v>
      </c>
      <c r="B27" s="288" t="s">
        <v>111</v>
      </c>
      <c r="C27" s="289">
        <f>C28</f>
        <v>2136</v>
      </c>
      <c r="D27" s="279">
        <f>C29</f>
        <v>2E-3</v>
      </c>
      <c r="E27" s="280" t="s">
        <v>125</v>
      </c>
      <c r="F27" s="290">
        <f>'数据-取费表'!Q16</f>
        <v>0.1</v>
      </c>
      <c r="G27" s="291" t="s">
        <v>1068</v>
      </c>
    </row>
    <row r="28" spans="1:7" s="258" customFormat="1" ht="13.5" customHeight="1">
      <c r="A28" s="954" t="s">
        <v>793</v>
      </c>
      <c r="B28" s="292" t="s">
        <v>1061</v>
      </c>
      <c r="C28" s="293">
        <f>ROUND((C5+C19+C20)*F27*'数据-取费表'!B21/'数据-取费表'!B20,0)</f>
        <v>2136</v>
      </c>
      <c r="D28" s="279"/>
      <c r="E28" s="280"/>
      <c r="F28" s="290"/>
      <c r="G28" s="291"/>
    </row>
    <row r="29" spans="1:7" s="258" customFormat="1" ht="13.5" customHeight="1">
      <c r="A29" s="954" t="s">
        <v>791</v>
      </c>
      <c r="B29" s="292" t="s">
        <v>1062</v>
      </c>
      <c r="C29" s="282">
        <f>ROUND(C21*F27*'数据-取费表'!B21/'数据-取费表'!B20,4)</f>
        <v>2E-3</v>
      </c>
      <c r="D29" s="279"/>
      <c r="E29" s="280"/>
      <c r="F29" s="290"/>
      <c r="G29" s="291"/>
    </row>
    <row r="30" spans="1:7" s="258" customFormat="1" ht="13.5" customHeight="1">
      <c r="A30" s="951" t="s">
        <v>787</v>
      </c>
      <c r="B30" s="254" t="s">
        <v>57</v>
      </c>
      <c r="C30" s="279">
        <f>F30</f>
        <v>5.5000000000000007E-2</v>
      </c>
      <c r="D30" s="280" t="s">
        <v>126</v>
      </c>
      <c r="E30" s="285"/>
      <c r="F30" s="281">
        <f>'数据-取费表'!B41</f>
        <v>5.5000000000000007E-2</v>
      </c>
      <c r="G30" s="278" t="s">
        <v>112</v>
      </c>
    </row>
    <row r="31" spans="1:7" ht="16.5" customHeight="1">
      <c r="A31" s="253">
        <v>1</v>
      </c>
      <c r="B31" s="254" t="s">
        <v>127</v>
      </c>
      <c r="C31" s="255">
        <f ca="1">ROUND((C5+C19+C20+C22+C27)/(1-C21-D22-D27-C30/(1+'数据-取费表'!B42)),0)</f>
        <v>26385</v>
      </c>
      <c r="D31" s="274"/>
      <c r="E31" s="255"/>
      <c r="F31" s="294"/>
      <c r="G31" s="278" t="s">
        <v>1069</v>
      </c>
    </row>
    <row r="32" spans="1:7" s="252" customFormat="1" ht="15.75">
      <c r="A32" s="296" t="s">
        <v>113</v>
      </c>
      <c r="B32" s="297"/>
      <c r="C32" s="297"/>
      <c r="D32" s="297"/>
      <c r="E32" s="297"/>
      <c r="F32" s="297"/>
      <c r="G32" s="298"/>
    </row>
    <row r="33" spans="1:7" s="258" customFormat="1" ht="13.5" customHeight="1">
      <c r="A33" s="299" t="s">
        <v>781</v>
      </c>
      <c r="B33" s="254" t="s">
        <v>114</v>
      </c>
      <c r="C33" s="300">
        <f>SUM(C34:C38)</f>
        <v>4597</v>
      </c>
      <c r="D33" s="276"/>
      <c r="E33" s="256"/>
      <c r="F33" s="285"/>
      <c r="G33" s="278"/>
    </row>
    <row r="34" spans="1:7" s="302" customFormat="1" ht="13.5" customHeight="1">
      <c r="A34" s="954" t="s">
        <v>793</v>
      </c>
      <c r="B34" s="259" t="s">
        <v>58</v>
      </c>
      <c r="C34" s="264">
        <f>IF(F34=100%,'数据-取费表'!M16-SUMIF('数据-取费表'!C:C,"公共配套",'数据-取费表'!M:M),'数据-取费表'!O16-SUMIF('数据-取费表'!C:C,"公共配套",'数据-取费表'!O:O))</f>
        <v>4087</v>
      </c>
      <c r="D34" s="261"/>
      <c r="E34" s="264"/>
      <c r="F34" s="301">
        <f>IF('数据-取费表'!B24=0,1,'数据-取费表'!N16)</f>
        <v>1</v>
      </c>
      <c r="G34" s="263" t="s">
        <v>115</v>
      </c>
    </row>
    <row r="35" spans="1:7" ht="13.5" customHeight="1">
      <c r="A35" s="954" t="s">
        <v>795</v>
      </c>
      <c r="B35" s="259" t="s">
        <v>59</v>
      </c>
      <c r="C35" s="264">
        <f>ROUND(C34*F35,0)</f>
        <v>204</v>
      </c>
      <c r="D35" s="264"/>
      <c r="E35" s="264"/>
      <c r="F35" s="303">
        <f>'数据-取费表'!B33</f>
        <v>0.05</v>
      </c>
      <c r="G35" s="263" t="s">
        <v>116</v>
      </c>
    </row>
    <row r="36" spans="1:7" ht="24">
      <c r="A36" s="954" t="s">
        <v>796</v>
      </c>
      <c r="B36" s="259" t="s">
        <v>60</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61</v>
      </c>
    </row>
    <row r="37" spans="1:7" s="302" customFormat="1" ht="13.5" customHeight="1">
      <c r="A37" s="954" t="s">
        <v>797</v>
      </c>
      <c r="B37" s="259" t="s">
        <v>117</v>
      </c>
      <c r="C37" s="293">
        <f>ROUND(E37*D37*F34/10000,0)</f>
        <v>245</v>
      </c>
      <c r="D37" s="261">
        <f>'数据-汇总表'!E3</f>
        <v>16346.349999999999</v>
      </c>
      <c r="E37" s="293">
        <f>'数据-取费表'!B35</f>
        <v>150</v>
      </c>
      <c r="F37" s="303"/>
      <c r="G37" s="305" t="s">
        <v>118</v>
      </c>
    </row>
    <row r="38" spans="1:7" ht="13.5" customHeight="1">
      <c r="A38" s="954" t="s">
        <v>798</v>
      </c>
      <c r="B38" s="259" t="s">
        <v>62</v>
      </c>
      <c r="C38" s="264">
        <f>ROUND(C34*F38,0)</f>
        <v>61</v>
      </c>
      <c r="D38" s="264"/>
      <c r="E38" s="264"/>
      <c r="F38" s="303">
        <f>'数据-取费表'!B36</f>
        <v>1.4999999999999999E-2</v>
      </c>
      <c r="G38" s="263" t="s">
        <v>116</v>
      </c>
    </row>
    <row r="39" spans="1:7" s="258" customFormat="1" ht="13.5" customHeight="1">
      <c r="A39" s="951" t="s">
        <v>782</v>
      </c>
      <c r="B39" s="254" t="s">
        <v>103</v>
      </c>
      <c r="C39" s="276">
        <f>ROUND(C33*F20,0)</f>
        <v>92</v>
      </c>
      <c r="D39" s="276"/>
      <c r="E39" s="276"/>
      <c r="F39" s="277"/>
      <c r="G39" s="1292" t="s">
        <v>1070</v>
      </c>
    </row>
    <row r="40" spans="1:7" s="258" customFormat="1" ht="13.5" customHeight="1">
      <c r="A40" s="951" t="s">
        <v>783</v>
      </c>
      <c r="B40" s="254" t="s">
        <v>104</v>
      </c>
      <c r="C40" s="306">
        <f>F21</f>
        <v>0.02</v>
      </c>
      <c r="D40" s="280" t="s">
        <v>128</v>
      </c>
      <c r="E40" s="276"/>
      <c r="F40" s="277"/>
      <c r="G40" s="278" t="s">
        <v>119</v>
      </c>
    </row>
    <row r="41" spans="1:7" s="258" customFormat="1" ht="13.5" customHeight="1">
      <c r="A41" s="951" t="s">
        <v>784</v>
      </c>
      <c r="B41" s="254" t="s">
        <v>106</v>
      </c>
      <c r="C41" s="276">
        <f ca="1">ROUND(SUM(C42:C43),0)</f>
        <v>102</v>
      </c>
      <c r="D41" s="279">
        <f ca="1">C44</f>
        <v>4.0000000000000002E-4</v>
      </c>
      <c r="E41" s="280" t="s">
        <v>128</v>
      </c>
      <c r="F41" s="281"/>
      <c r="G41" s="1292" t="str">
        <f>IF('数据-取费表'!B22&lt;=1,"单利计息","复利计息")</f>
        <v>单利计息</v>
      </c>
    </row>
    <row r="42" spans="1:7" ht="13.5" customHeight="1">
      <c r="A42" s="954" t="s">
        <v>793</v>
      </c>
      <c r="B42" s="259" t="s">
        <v>1060</v>
      </c>
      <c r="C42" s="282">
        <f ca="1">ROUND(IF('数据-取费表'!B22&lt;=1,C33*F22*'数据-取费表'!B21/2,C33*(POWER((1+F22),'数据-取费表'!B21/2)-1)),0)</f>
        <v>100</v>
      </c>
      <c r="D42" s="282"/>
      <c r="E42" s="282"/>
      <c r="F42" s="283"/>
      <c r="G42" s="3138" t="s">
        <v>120</v>
      </c>
    </row>
    <row r="43" spans="1:7" ht="13.5" customHeight="1">
      <c r="A43" s="954" t="s">
        <v>791</v>
      </c>
      <c r="B43" s="259" t="s">
        <v>1063</v>
      </c>
      <c r="C43" s="282">
        <f ca="1">ROUND(IF('数据-取费表'!B22&lt;=1,C39*F22*'数据-取费表'!B21/2,C39*(POWER((1+F22),'数据-取费表'!B21/2)-1)),0)</f>
        <v>2</v>
      </c>
      <c r="D43" s="282"/>
      <c r="E43" s="282"/>
      <c r="F43" s="283"/>
      <c r="G43" s="3139"/>
    </row>
    <row r="44" spans="1:7" ht="13.5" customHeight="1">
      <c r="A44" s="954" t="s">
        <v>792</v>
      </c>
      <c r="B44" s="259" t="s">
        <v>1065</v>
      </c>
      <c r="C44" s="282">
        <f ca="1">ROUND(IF('数据-取费表'!B22&lt;=1,C40*F22*'数据-取费表'!B21/2,C40*(POWER((1+F22),'数据-取费表'!B21/2)-1)),4)</f>
        <v>4.0000000000000002E-4</v>
      </c>
      <c r="D44" s="282"/>
      <c r="E44" s="282"/>
      <c r="F44" s="283"/>
      <c r="G44" s="3140"/>
    </row>
    <row r="45" spans="1:7" s="258" customFormat="1" ht="13.5" customHeight="1">
      <c r="A45" s="951" t="s">
        <v>785</v>
      </c>
      <c r="B45" s="288" t="s">
        <v>111</v>
      </c>
      <c r="C45" s="289">
        <f>C46</f>
        <v>469</v>
      </c>
      <c r="D45" s="279">
        <f>C47</f>
        <v>2E-3</v>
      </c>
      <c r="E45" s="280" t="s">
        <v>128</v>
      </c>
      <c r="F45" s="290"/>
      <c r="G45" s="291" t="s">
        <v>1071</v>
      </c>
    </row>
    <row r="46" spans="1:7" s="258" customFormat="1" ht="13.5" customHeight="1">
      <c r="A46" s="954" t="s">
        <v>793</v>
      </c>
      <c r="B46" s="292" t="s">
        <v>1064</v>
      </c>
      <c r="C46" s="293">
        <f>ROUND((C33+C39)*F27,0)</f>
        <v>469</v>
      </c>
      <c r="D46" s="307"/>
      <c r="E46" s="280"/>
      <c r="F46" s="290"/>
      <c r="G46" s="291"/>
    </row>
    <row r="47" spans="1:7" s="258" customFormat="1" ht="13.5" customHeight="1">
      <c r="A47" s="954" t="s">
        <v>791</v>
      </c>
      <c r="B47" s="292" t="s">
        <v>1066</v>
      </c>
      <c r="C47" s="282">
        <f>ROUND(C40*F27,4)</f>
        <v>2E-3</v>
      </c>
      <c r="D47" s="307"/>
      <c r="E47" s="280"/>
      <c r="F47" s="290"/>
      <c r="G47" s="291"/>
    </row>
    <row r="48" spans="1:7" s="258" customFormat="1" ht="13.5" customHeight="1">
      <c r="A48" s="951" t="s">
        <v>786</v>
      </c>
      <c r="B48" s="254" t="s">
        <v>121</v>
      </c>
      <c r="C48" s="306">
        <f>F30</f>
        <v>5.5000000000000007E-2</v>
      </c>
      <c r="D48" s="280" t="s">
        <v>129</v>
      </c>
      <c r="E48" s="276"/>
      <c r="F48" s="281"/>
      <c r="G48" s="278" t="s">
        <v>122</v>
      </c>
    </row>
    <row r="49" spans="1:7" ht="16.5" customHeight="1">
      <c r="A49" s="951" t="s">
        <v>787</v>
      </c>
      <c r="B49" s="254" t="s">
        <v>130</v>
      </c>
      <c r="C49" s="276">
        <f ca="1">ROUND((C33+C39+C41+C45)/(1-C40-D41-D45-C48/(1+'数据-取费表'!B42)),0)</f>
        <v>5685</v>
      </c>
      <c r="D49" s="276"/>
      <c r="E49" s="276"/>
      <c r="F49" s="308"/>
      <c r="G49" s="278" t="s">
        <v>1072</v>
      </c>
    </row>
    <row r="50" spans="1:7" s="302" customFormat="1" ht="24">
      <c r="A50" s="951" t="s">
        <v>788</v>
      </c>
      <c r="B50" s="254" t="s">
        <v>123</v>
      </c>
      <c r="C50" s="276"/>
      <c r="D50" s="276"/>
      <c r="E50" s="276"/>
      <c r="F50" s="308">
        <f>IF('数据-取费表'!B24=0,'数据-取费表'!N16,1)</f>
        <v>0.94</v>
      </c>
      <c r="G50" s="291" t="s">
        <v>124</v>
      </c>
    </row>
    <row r="51" spans="1:7" ht="16.5" customHeight="1">
      <c r="A51" s="951" t="s">
        <v>789</v>
      </c>
      <c r="B51" s="254" t="s">
        <v>131</v>
      </c>
      <c r="C51" s="276">
        <f ca="1">ROUND(C49*F50,0)</f>
        <v>5344</v>
      </c>
      <c r="D51" s="276"/>
      <c r="E51" s="276"/>
      <c r="F51" s="308"/>
      <c r="G51" s="278" t="s">
        <v>63</v>
      </c>
    </row>
    <row r="52" spans="1:7" s="252" customFormat="1" ht="16.5" thickBot="1">
      <c r="A52" s="309" t="s">
        <v>64</v>
      </c>
      <c r="B52" s="310"/>
      <c r="C52" s="311">
        <f ca="1">C31+C51</f>
        <v>31729</v>
      </c>
      <c r="D52" s="310"/>
      <c r="E52" s="310"/>
      <c r="F52" s="310"/>
      <c r="G52" s="312"/>
    </row>
    <row r="55" spans="1:7" ht="15">
      <c r="B55" s="314" t="s">
        <v>65</v>
      </c>
      <c r="C55" s="315"/>
    </row>
    <row r="56" spans="1:7">
      <c r="B56" s="317" t="s">
        <v>66</v>
      </c>
      <c r="C56" s="318">
        <f ca="1">ROUND(C51/C52,3)</f>
        <v>0.16800000000000001</v>
      </c>
    </row>
    <row r="57" spans="1:7">
      <c r="B57" s="317" t="s">
        <v>67</v>
      </c>
      <c r="C57" s="319">
        <f ca="1">1-C56</f>
        <v>0.83199999999999996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3" t="s">
        <v>155</v>
      </c>
      <c r="B1" s="3273"/>
      <c r="C1" s="3273"/>
      <c r="D1" s="3273"/>
      <c r="E1" s="3273"/>
      <c r="F1" s="3273"/>
      <c r="H1" s="830" t="s">
        <v>156</v>
      </c>
      <c r="I1" s="831" t="s">
        <v>157</v>
      </c>
      <c r="J1" s="831" t="s">
        <v>158</v>
      </c>
      <c r="K1" s="831" t="s">
        <v>159</v>
      </c>
      <c r="L1" s="831" t="s">
        <v>160</v>
      </c>
      <c r="M1" s="831" t="s">
        <v>161</v>
      </c>
      <c r="N1" s="831" t="s">
        <v>162</v>
      </c>
      <c r="O1" s="831" t="s">
        <v>163</v>
      </c>
      <c r="P1" s="831" t="s">
        <v>164</v>
      </c>
      <c r="Q1" s="831" t="s">
        <v>165</v>
      </c>
      <c r="R1" s="831" t="s">
        <v>166</v>
      </c>
      <c r="S1" s="832" t="s">
        <v>167</v>
      </c>
    </row>
    <row r="2" spans="1:19" ht="14.25" thickBot="1">
      <c r="A2" s="3274" t="s">
        <v>168</v>
      </c>
      <c r="B2" s="3274"/>
      <c r="C2" s="3274"/>
      <c r="D2" s="3274"/>
      <c r="E2" s="3274"/>
      <c r="F2" s="3274"/>
      <c r="H2" s="833" t="s">
        <v>169</v>
      </c>
      <c r="I2" s="834" t="s">
        <v>170</v>
      </c>
      <c r="J2" s="834" t="s">
        <v>171</v>
      </c>
      <c r="K2" s="834" t="s">
        <v>172</v>
      </c>
      <c r="L2" s="834" t="s">
        <v>173</v>
      </c>
      <c r="M2" s="834" t="s">
        <v>174</v>
      </c>
      <c r="N2" s="834" t="s">
        <v>175</v>
      </c>
      <c r="O2" s="834" t="s">
        <v>176</v>
      </c>
      <c r="P2" s="834" t="s">
        <v>177</v>
      </c>
      <c r="Q2" s="834" t="s">
        <v>178</v>
      </c>
      <c r="R2" s="834" t="s">
        <v>179</v>
      </c>
      <c r="S2" s="834" t="s">
        <v>180</v>
      </c>
    </row>
    <row r="3" spans="1:19" s="829" customFormat="1" ht="19.5" customHeight="1">
      <c r="A3" s="3275" t="s">
        <v>181</v>
      </c>
      <c r="B3" s="835"/>
      <c r="C3" s="836" t="s">
        <v>182</v>
      </c>
      <c r="D3" s="836" t="s">
        <v>183</v>
      </c>
      <c r="E3" s="836" t="s">
        <v>750</v>
      </c>
      <c r="F3" s="836" t="s">
        <v>185</v>
      </c>
      <c r="G3" s="837"/>
      <c r="H3" s="833" t="s">
        <v>186</v>
      </c>
      <c r="I3" s="834" t="s">
        <v>187</v>
      </c>
      <c r="J3" s="834" t="s">
        <v>188</v>
      </c>
      <c r="K3" s="834" t="s">
        <v>189</v>
      </c>
      <c r="L3" s="834" t="s">
        <v>190</v>
      </c>
      <c r="M3" s="834" t="s">
        <v>191</v>
      </c>
      <c r="N3" s="834" t="s">
        <v>192</v>
      </c>
      <c r="O3" s="834" t="s">
        <v>193</v>
      </c>
      <c r="P3" s="834" t="s">
        <v>194</v>
      </c>
      <c r="Q3" s="834" t="s">
        <v>195</v>
      </c>
      <c r="R3" s="834" t="s">
        <v>196</v>
      </c>
      <c r="S3" s="834" t="s">
        <v>197</v>
      </c>
    </row>
    <row r="4" spans="1:19" s="829" customFormat="1" ht="19.5" customHeight="1" thickBot="1">
      <c r="A4" s="3276"/>
      <c r="B4" s="838" t="s">
        <v>198</v>
      </c>
      <c r="C4" s="838" t="s">
        <v>199</v>
      </c>
      <c r="D4" s="838" t="s">
        <v>199</v>
      </c>
      <c r="E4" s="838" t="s">
        <v>199</v>
      </c>
      <c r="F4" s="839" t="s">
        <v>199</v>
      </c>
      <c r="G4" s="837"/>
      <c r="H4" s="833" t="s">
        <v>200</v>
      </c>
      <c r="I4" s="834" t="s">
        <v>137</v>
      </c>
      <c r="J4" s="834" t="s">
        <v>201</v>
      </c>
      <c r="K4" s="834" t="s">
        <v>202</v>
      </c>
      <c r="L4" s="834" t="s">
        <v>203</v>
      </c>
      <c r="M4" s="834" t="s">
        <v>204</v>
      </c>
      <c r="N4" s="834" t="s">
        <v>205</v>
      </c>
      <c r="O4" s="834" t="s">
        <v>206</v>
      </c>
      <c r="P4" s="834" t="s">
        <v>207</v>
      </c>
      <c r="Q4" s="834" t="s">
        <v>208</v>
      </c>
      <c r="R4" s="834" t="s">
        <v>209</v>
      </c>
      <c r="S4" s="834" t="s">
        <v>210</v>
      </c>
    </row>
    <row r="5" spans="1:19" ht="14.25" customHeight="1" thickBot="1">
      <c r="A5" s="840" t="s">
        <v>815</v>
      </c>
      <c r="B5" s="841" t="s">
        <v>816</v>
      </c>
      <c r="C5" s="841">
        <v>29530</v>
      </c>
      <c r="D5" s="841">
        <v>28130</v>
      </c>
      <c r="E5" s="841">
        <v>27930</v>
      </c>
      <c r="F5" s="842">
        <v>11300</v>
      </c>
      <c r="G5" s="837"/>
      <c r="H5" s="833" t="s">
        <v>212</v>
      </c>
      <c r="I5" s="834" t="s">
        <v>213</v>
      </c>
      <c r="J5" s="834" t="s">
        <v>214</v>
      </c>
      <c r="K5" s="834" t="s">
        <v>215</v>
      </c>
      <c r="L5" s="834" t="s">
        <v>216</v>
      </c>
      <c r="M5" s="834" t="s">
        <v>217</v>
      </c>
      <c r="N5" s="834" t="s">
        <v>218</v>
      </c>
      <c r="O5" s="834" t="s">
        <v>219</v>
      </c>
      <c r="P5" s="834" t="s">
        <v>220</v>
      </c>
      <c r="Q5" s="834" t="s">
        <v>221</v>
      </c>
      <c r="R5" s="834" t="s">
        <v>222</v>
      </c>
      <c r="S5" s="834" t="s">
        <v>223</v>
      </c>
    </row>
    <row r="6" spans="1:19" ht="14.25" customHeight="1" thickBot="1">
      <c r="A6" s="840" t="s">
        <v>211</v>
      </c>
      <c r="B6" s="834" t="s">
        <v>186</v>
      </c>
      <c r="C6" s="834">
        <v>30290</v>
      </c>
      <c r="D6" s="834">
        <v>29210</v>
      </c>
      <c r="E6" s="834">
        <v>28860</v>
      </c>
      <c r="F6" s="843">
        <v>12600</v>
      </c>
      <c r="G6" s="837"/>
      <c r="H6" s="833" t="s">
        <v>224</v>
      </c>
      <c r="I6" s="834" t="s">
        <v>225</v>
      </c>
      <c r="J6" s="834" t="s">
        <v>226</v>
      </c>
      <c r="K6" s="834" t="s">
        <v>227</v>
      </c>
      <c r="L6" s="834" t="s">
        <v>228</v>
      </c>
      <c r="M6" s="834" t="s">
        <v>229</v>
      </c>
      <c r="N6" s="834" t="s">
        <v>230</v>
      </c>
      <c r="O6" s="834" t="s">
        <v>231</v>
      </c>
      <c r="P6" s="834" t="s">
        <v>232</v>
      </c>
      <c r="Q6" s="834" t="s">
        <v>233</v>
      </c>
      <c r="R6" s="834" t="s">
        <v>234</v>
      </c>
      <c r="S6" s="834" t="s">
        <v>235</v>
      </c>
    </row>
    <row r="7" spans="1:19" ht="14.25" customHeight="1" thickBot="1">
      <c r="A7" s="840" t="s">
        <v>211</v>
      </c>
      <c r="B7" s="844" t="s">
        <v>200</v>
      </c>
      <c r="C7" s="834">
        <v>29350</v>
      </c>
      <c r="D7" s="834">
        <v>28410</v>
      </c>
      <c r="E7" s="834">
        <v>27990</v>
      </c>
      <c r="F7" s="843">
        <v>12300</v>
      </c>
      <c r="G7" s="837"/>
      <c r="I7" s="834" t="s">
        <v>236</v>
      </c>
      <c r="J7" s="834" t="s">
        <v>237</v>
      </c>
      <c r="K7" s="834" t="s">
        <v>238</v>
      </c>
      <c r="L7" s="834" t="s">
        <v>239</v>
      </c>
      <c r="M7" s="834" t="s">
        <v>240</v>
      </c>
      <c r="N7" s="834" t="s">
        <v>241</v>
      </c>
      <c r="O7" s="834" t="s">
        <v>242</v>
      </c>
      <c r="P7" s="834" t="s">
        <v>243</v>
      </c>
      <c r="Q7" s="834" t="s">
        <v>244</v>
      </c>
      <c r="R7" s="834" t="s">
        <v>245</v>
      </c>
      <c r="S7" s="844" t="s">
        <v>246</v>
      </c>
    </row>
    <row r="8" spans="1:19" ht="14.25" customHeight="1" thickBot="1">
      <c r="A8" s="840" t="s">
        <v>211</v>
      </c>
      <c r="B8" s="834" t="s">
        <v>212</v>
      </c>
      <c r="C8" s="834">
        <v>30890</v>
      </c>
      <c r="D8" s="834">
        <v>29780</v>
      </c>
      <c r="E8" s="834">
        <v>29270</v>
      </c>
      <c r="F8" s="843">
        <v>11600</v>
      </c>
      <c r="G8" s="837"/>
      <c r="I8" s="834" t="s">
        <v>247</v>
      </c>
      <c r="J8" s="834" t="s">
        <v>248</v>
      </c>
      <c r="K8" s="834" t="s">
        <v>249</v>
      </c>
      <c r="L8" s="834" t="s">
        <v>250</v>
      </c>
      <c r="M8" s="834" t="s">
        <v>251</v>
      </c>
      <c r="N8" s="834" t="s">
        <v>252</v>
      </c>
      <c r="O8" s="834" t="s">
        <v>253</v>
      </c>
      <c r="P8" s="834" t="s">
        <v>254</v>
      </c>
      <c r="Q8" s="834" t="s">
        <v>255</v>
      </c>
      <c r="R8" s="834" t="s">
        <v>256</v>
      </c>
      <c r="S8" s="834" t="s">
        <v>257</v>
      </c>
    </row>
    <row r="9" spans="1:19" ht="14.25" customHeight="1" thickBot="1">
      <c r="A9" s="840" t="s">
        <v>211</v>
      </c>
      <c r="B9" s="845" t="s">
        <v>224</v>
      </c>
      <c r="C9" s="846">
        <v>28140</v>
      </c>
      <c r="D9" s="846"/>
      <c r="E9" s="846"/>
      <c r="F9" s="847"/>
      <c r="G9" s="837"/>
      <c r="I9" s="834" t="s">
        <v>258</v>
      </c>
      <c r="J9" s="834" t="s">
        <v>259</v>
      </c>
      <c r="K9" s="834" t="s">
        <v>260</v>
      </c>
      <c r="L9" s="834" t="s">
        <v>261</v>
      </c>
      <c r="M9" s="834" t="s">
        <v>262</v>
      </c>
      <c r="N9" s="834" t="s">
        <v>263</v>
      </c>
      <c r="O9" s="834" t="s">
        <v>264</v>
      </c>
      <c r="P9" s="834" t="s">
        <v>265</v>
      </c>
      <c r="Q9" s="834" t="s">
        <v>266</v>
      </c>
      <c r="R9" s="834" t="s">
        <v>267</v>
      </c>
    </row>
    <row r="10" spans="1:19" ht="14.25" customHeight="1" thickBot="1">
      <c r="A10" s="840" t="s">
        <v>268</v>
      </c>
      <c r="B10" s="841" t="s">
        <v>269</v>
      </c>
      <c r="C10" s="841">
        <v>27450</v>
      </c>
      <c r="D10" s="841">
        <v>26180</v>
      </c>
      <c r="E10" s="841">
        <v>25980</v>
      </c>
      <c r="F10" s="842">
        <v>8910</v>
      </c>
      <c r="G10" s="837"/>
      <c r="I10" s="834" t="s">
        <v>270</v>
      </c>
      <c r="J10" s="834" t="s">
        <v>271</v>
      </c>
      <c r="K10" s="834" t="s">
        <v>272</v>
      </c>
      <c r="L10" s="834" t="s">
        <v>273</v>
      </c>
      <c r="M10" s="834" t="s">
        <v>274</v>
      </c>
      <c r="N10" s="834" t="s">
        <v>275</v>
      </c>
      <c r="O10" s="834" t="s">
        <v>276</v>
      </c>
      <c r="P10" s="834" t="s">
        <v>277</v>
      </c>
      <c r="Q10" s="834" t="s">
        <v>278</v>
      </c>
      <c r="R10" s="834" t="s">
        <v>279</v>
      </c>
    </row>
    <row r="11" spans="1:19" ht="14.25" customHeight="1" thickBot="1">
      <c r="A11" s="840" t="s">
        <v>268</v>
      </c>
      <c r="B11" s="844" t="s">
        <v>187</v>
      </c>
      <c r="C11" s="834">
        <v>22950</v>
      </c>
      <c r="D11" s="834">
        <v>22630</v>
      </c>
      <c r="E11" s="834">
        <v>22030</v>
      </c>
      <c r="F11" s="848">
        <v>8330</v>
      </c>
      <c r="G11" s="837"/>
      <c r="I11" s="834" t="s">
        <v>280</v>
      </c>
      <c r="J11" s="834" t="s">
        <v>281</v>
      </c>
      <c r="K11" s="834" t="s">
        <v>282</v>
      </c>
      <c r="L11" s="834" t="s">
        <v>283</v>
      </c>
      <c r="M11" s="834" t="s">
        <v>284</v>
      </c>
      <c r="N11" s="834" t="s">
        <v>285</v>
      </c>
      <c r="O11" s="834" t="s">
        <v>286</v>
      </c>
      <c r="P11" s="834" t="s">
        <v>287</v>
      </c>
      <c r="Q11" s="834" t="s">
        <v>288</v>
      </c>
      <c r="R11" s="834" t="s">
        <v>289</v>
      </c>
    </row>
    <row r="12" spans="1:19" ht="14.25" customHeight="1" thickBot="1">
      <c r="A12" s="840" t="s">
        <v>268</v>
      </c>
      <c r="B12" s="844" t="s">
        <v>137</v>
      </c>
      <c r="C12" s="834">
        <v>24940</v>
      </c>
      <c r="D12" s="834">
        <v>23180</v>
      </c>
      <c r="E12" s="834">
        <v>22910</v>
      </c>
      <c r="F12" s="848">
        <v>7180</v>
      </c>
      <c r="G12" s="837"/>
      <c r="I12" s="834" t="s">
        <v>290</v>
      </c>
      <c r="J12" s="834" t="s">
        <v>291</v>
      </c>
      <c r="K12" s="834" t="s">
        <v>292</v>
      </c>
      <c r="L12" s="834" t="s">
        <v>293</v>
      </c>
      <c r="M12" s="834" t="s">
        <v>294</v>
      </c>
      <c r="N12" s="834" t="s">
        <v>295</v>
      </c>
      <c r="O12" s="834" t="s">
        <v>296</v>
      </c>
      <c r="P12" s="834" t="s">
        <v>297</v>
      </c>
      <c r="Q12" s="834" t="s">
        <v>298</v>
      </c>
      <c r="R12" s="834" t="s">
        <v>299</v>
      </c>
    </row>
    <row r="13" spans="1:19" ht="14.25" customHeight="1" thickBot="1">
      <c r="A13" s="840" t="s">
        <v>268</v>
      </c>
      <c r="B13" s="844" t="s">
        <v>213</v>
      </c>
      <c r="C13" s="834">
        <v>24140</v>
      </c>
      <c r="D13" s="834">
        <v>22270</v>
      </c>
      <c r="E13" s="834">
        <v>21950</v>
      </c>
      <c r="F13" s="848">
        <v>7600</v>
      </c>
      <c r="G13" s="837"/>
      <c r="I13" s="834" t="s">
        <v>300</v>
      </c>
      <c r="J13" s="834" t="s">
        <v>301</v>
      </c>
      <c r="K13" s="834" t="s">
        <v>302</v>
      </c>
      <c r="L13" s="834" t="s">
        <v>303</v>
      </c>
      <c r="M13" s="834" t="s">
        <v>304</v>
      </c>
      <c r="N13" s="834" t="s">
        <v>305</v>
      </c>
      <c r="O13" s="834" t="s">
        <v>306</v>
      </c>
      <c r="P13" s="834" t="s">
        <v>307</v>
      </c>
      <c r="Q13" s="834" t="s">
        <v>308</v>
      </c>
      <c r="R13" s="834" t="s">
        <v>309</v>
      </c>
    </row>
    <row r="14" spans="1:19" ht="14.25" customHeight="1" thickBot="1">
      <c r="A14" s="840" t="s">
        <v>268</v>
      </c>
      <c r="B14" s="844" t="s">
        <v>225</v>
      </c>
      <c r="C14" s="834">
        <v>25600</v>
      </c>
      <c r="D14" s="834">
        <v>22260</v>
      </c>
      <c r="E14" s="834">
        <v>22110</v>
      </c>
      <c r="F14" s="848">
        <v>7630</v>
      </c>
      <c r="G14" s="837"/>
      <c r="I14" s="834" t="s">
        <v>310</v>
      </c>
      <c r="J14" s="834" t="s">
        <v>311</v>
      </c>
      <c r="K14" s="834" t="s">
        <v>312</v>
      </c>
      <c r="L14" s="834" t="s">
        <v>313</v>
      </c>
      <c r="M14" s="834" t="s">
        <v>314</v>
      </c>
      <c r="N14" s="834" t="s">
        <v>315</v>
      </c>
      <c r="O14" s="834" t="s">
        <v>316</v>
      </c>
      <c r="P14" s="834" t="s">
        <v>317</v>
      </c>
      <c r="Q14" s="834" t="s">
        <v>318</v>
      </c>
      <c r="R14" s="834" t="s">
        <v>319</v>
      </c>
    </row>
    <row r="15" spans="1:19" ht="14.25" customHeight="1" thickBot="1">
      <c r="A15" s="840" t="s">
        <v>268</v>
      </c>
      <c r="B15" s="844" t="s">
        <v>236</v>
      </c>
      <c r="C15" s="834">
        <v>24760</v>
      </c>
      <c r="D15" s="834">
        <v>24440</v>
      </c>
      <c r="E15" s="834">
        <v>24130</v>
      </c>
      <c r="F15" s="848">
        <v>9480</v>
      </c>
      <c r="G15" s="837"/>
      <c r="I15" s="834" t="s">
        <v>321</v>
      </c>
      <c r="J15" s="834" t="s">
        <v>322</v>
      </c>
      <c r="K15" s="834" t="s">
        <v>323</v>
      </c>
      <c r="L15" s="834" t="s">
        <v>324</v>
      </c>
      <c r="M15" s="834" t="s">
        <v>325</v>
      </c>
      <c r="N15" s="834" t="s">
        <v>326</v>
      </c>
      <c r="O15" s="834" t="s">
        <v>327</v>
      </c>
      <c r="P15" s="834" t="s">
        <v>328</v>
      </c>
      <c r="Q15" s="834" t="s">
        <v>329</v>
      </c>
      <c r="R15" s="834" t="s">
        <v>330</v>
      </c>
    </row>
    <row r="16" spans="1:19" ht="14.25" customHeight="1" thickBot="1">
      <c r="A16" s="840" t="s">
        <v>268</v>
      </c>
      <c r="B16" s="844" t="s">
        <v>247</v>
      </c>
      <c r="C16" s="834">
        <v>22220</v>
      </c>
      <c r="D16" s="834">
        <v>22310</v>
      </c>
      <c r="E16" s="834">
        <v>22000</v>
      </c>
      <c r="F16" s="848">
        <v>8900</v>
      </c>
      <c r="G16" s="837"/>
      <c r="I16" s="834" t="s">
        <v>332</v>
      </c>
      <c r="J16" s="834" t="s">
        <v>333</v>
      </c>
      <c r="K16" s="834" t="s">
        <v>334</v>
      </c>
      <c r="L16" s="834" t="s">
        <v>335</v>
      </c>
      <c r="M16" s="834" t="s">
        <v>336</v>
      </c>
      <c r="N16" s="834" t="s">
        <v>337</v>
      </c>
      <c r="O16" s="834" t="s">
        <v>338</v>
      </c>
      <c r="P16" s="834" t="s">
        <v>339</v>
      </c>
      <c r="Q16" s="834" t="s">
        <v>340</v>
      </c>
      <c r="R16" s="834" t="s">
        <v>341</v>
      </c>
    </row>
    <row r="17" spans="1:18" ht="14.25" customHeight="1" thickBot="1">
      <c r="A17" s="840" t="s">
        <v>268</v>
      </c>
      <c r="B17" s="844" t="s">
        <v>258</v>
      </c>
      <c r="C17" s="834">
        <v>24700</v>
      </c>
      <c r="D17" s="834">
        <v>25150</v>
      </c>
      <c r="E17" s="834">
        <v>24700</v>
      </c>
      <c r="F17" s="849"/>
      <c r="G17" s="837"/>
      <c r="I17" s="834" t="s">
        <v>342</v>
      </c>
      <c r="J17" s="834" t="s">
        <v>343</v>
      </c>
      <c r="K17" s="834" t="s">
        <v>344</v>
      </c>
      <c r="L17" s="834" t="s">
        <v>345</v>
      </c>
      <c r="M17" s="834" t="s">
        <v>346</v>
      </c>
      <c r="N17" s="834" t="s">
        <v>347</v>
      </c>
      <c r="O17" s="834" t="s">
        <v>348</v>
      </c>
      <c r="P17" s="834" t="s">
        <v>349</v>
      </c>
      <c r="Q17" s="834" t="s">
        <v>350</v>
      </c>
      <c r="R17" s="834" t="s">
        <v>351</v>
      </c>
    </row>
    <row r="18" spans="1:18" ht="14.25" customHeight="1" thickBot="1">
      <c r="A18" s="840" t="s">
        <v>268</v>
      </c>
      <c r="B18" s="844" t="s">
        <v>270</v>
      </c>
      <c r="C18" s="834">
        <v>22350</v>
      </c>
      <c r="D18" s="834">
        <v>24340</v>
      </c>
      <c r="E18" s="834">
        <v>24100</v>
      </c>
      <c r="F18" s="849"/>
      <c r="G18" s="837"/>
      <c r="I18" s="834" t="s">
        <v>352</v>
      </c>
      <c r="J18" s="834" t="s">
        <v>353</v>
      </c>
      <c r="K18" s="834" t="s">
        <v>354</v>
      </c>
      <c r="L18" s="834" t="s">
        <v>355</v>
      </c>
      <c r="M18" s="834" t="s">
        <v>356</v>
      </c>
      <c r="N18" s="834" t="s">
        <v>357</v>
      </c>
      <c r="O18" s="834" t="s">
        <v>358</v>
      </c>
      <c r="P18" s="834" t="s">
        <v>359</v>
      </c>
      <c r="Q18" s="834" t="s">
        <v>360</v>
      </c>
      <c r="R18" s="834" t="s">
        <v>361</v>
      </c>
    </row>
    <row r="19" spans="1:18" ht="14.25" customHeight="1" thickBot="1">
      <c r="A19" s="840" t="s">
        <v>268</v>
      </c>
      <c r="B19" s="844" t="s">
        <v>280</v>
      </c>
      <c r="C19" s="834">
        <v>23430</v>
      </c>
      <c r="D19" s="834">
        <v>21580</v>
      </c>
      <c r="E19" s="834">
        <v>21350</v>
      </c>
      <c r="F19" s="849"/>
      <c r="G19" s="837"/>
      <c r="I19" s="834" t="s">
        <v>362</v>
      </c>
      <c r="J19" s="834" t="s">
        <v>363</v>
      </c>
      <c r="K19" s="834" t="s">
        <v>364</v>
      </c>
      <c r="L19" s="834" t="s">
        <v>365</v>
      </c>
      <c r="M19" s="834" t="s">
        <v>366</v>
      </c>
      <c r="N19" s="834" t="s">
        <v>367</v>
      </c>
      <c r="O19" s="834" t="s">
        <v>368</v>
      </c>
      <c r="P19" s="834" t="s">
        <v>369</v>
      </c>
      <c r="Q19" s="834" t="s">
        <v>370</v>
      </c>
      <c r="R19" s="834" t="s">
        <v>371</v>
      </c>
    </row>
    <row r="20" spans="1:18" ht="14.25" customHeight="1" thickBot="1">
      <c r="A20" s="840" t="s">
        <v>268</v>
      </c>
      <c r="B20" s="844" t="s">
        <v>290</v>
      </c>
      <c r="C20" s="834">
        <v>27660</v>
      </c>
      <c r="D20" s="834">
        <v>24240</v>
      </c>
      <c r="E20" s="834">
        <v>24020</v>
      </c>
      <c r="F20" s="849"/>
      <c r="I20" s="834" t="s">
        <v>372</v>
      </c>
      <c r="J20" s="834" t="s">
        <v>373</v>
      </c>
      <c r="K20" s="834" t="s">
        <v>374</v>
      </c>
      <c r="L20" s="834" t="s">
        <v>375</v>
      </c>
      <c r="M20" s="834" t="s">
        <v>376</v>
      </c>
      <c r="N20" s="834" t="s">
        <v>377</v>
      </c>
      <c r="O20" s="834" t="s">
        <v>378</v>
      </c>
      <c r="P20" s="834" t="s">
        <v>379</v>
      </c>
      <c r="Q20" s="834" t="s">
        <v>380</v>
      </c>
      <c r="R20" s="834" t="s">
        <v>381</v>
      </c>
    </row>
    <row r="21" spans="1:18" ht="14.25" customHeight="1" thickBot="1">
      <c r="A21" s="840" t="s">
        <v>268</v>
      </c>
      <c r="B21" s="844" t="s">
        <v>300</v>
      </c>
      <c r="C21" s="834">
        <v>24720</v>
      </c>
      <c r="D21" s="834">
        <v>21670</v>
      </c>
      <c r="E21" s="834">
        <v>21510</v>
      </c>
      <c r="F21" s="849"/>
      <c r="J21" s="834" t="s">
        <v>382</v>
      </c>
      <c r="K21" s="834" t="s">
        <v>383</v>
      </c>
      <c r="L21" s="834" t="s">
        <v>384</v>
      </c>
      <c r="M21" s="834" t="s">
        <v>385</v>
      </c>
      <c r="N21" s="834" t="s">
        <v>386</v>
      </c>
      <c r="O21" s="834" t="s">
        <v>387</v>
      </c>
      <c r="P21" s="834" t="s">
        <v>388</v>
      </c>
      <c r="Q21" s="834" t="s">
        <v>389</v>
      </c>
      <c r="R21" s="834" t="s">
        <v>390</v>
      </c>
    </row>
    <row r="22" spans="1:18" ht="14.25" customHeight="1" thickBot="1">
      <c r="A22" s="840" t="s">
        <v>268</v>
      </c>
      <c r="B22" s="844" t="s">
        <v>391</v>
      </c>
      <c r="C22" s="834">
        <v>26530</v>
      </c>
      <c r="D22" s="834">
        <v>22980</v>
      </c>
      <c r="E22" s="834">
        <v>22650</v>
      </c>
      <c r="F22" s="849"/>
      <c r="K22" s="834" t="s">
        <v>392</v>
      </c>
      <c r="L22" s="834" t="s">
        <v>393</v>
      </c>
      <c r="M22" s="834" t="s">
        <v>394</v>
      </c>
      <c r="N22" s="834" t="s">
        <v>395</v>
      </c>
      <c r="O22" s="834" t="s">
        <v>396</v>
      </c>
      <c r="P22" s="834" t="s">
        <v>397</v>
      </c>
      <c r="Q22" s="834" t="s">
        <v>398</v>
      </c>
      <c r="R22" s="844" t="s">
        <v>399</v>
      </c>
    </row>
    <row r="23" spans="1:18" ht="14.25" customHeight="1" thickBot="1">
      <c r="A23" s="840" t="s">
        <v>268</v>
      </c>
      <c r="B23" s="844" t="s">
        <v>321</v>
      </c>
      <c r="C23" s="834">
        <v>24700</v>
      </c>
      <c r="D23" s="834">
        <v>27290</v>
      </c>
      <c r="E23" s="834">
        <v>26710</v>
      </c>
      <c r="F23" s="849"/>
      <c r="K23" s="834" t="s">
        <v>400</v>
      </c>
      <c r="L23" s="834" t="s">
        <v>401</v>
      </c>
      <c r="M23" s="834" t="s">
        <v>402</v>
      </c>
      <c r="N23" s="834" t="s">
        <v>403</v>
      </c>
      <c r="O23" s="834" t="s">
        <v>404</v>
      </c>
      <c r="P23" s="834" t="s">
        <v>405</v>
      </c>
      <c r="Q23" s="834" t="s">
        <v>406</v>
      </c>
    </row>
    <row r="24" spans="1:18" ht="14.25" customHeight="1" thickBot="1">
      <c r="A24" s="840" t="s">
        <v>268</v>
      </c>
      <c r="B24" s="844" t="s">
        <v>332</v>
      </c>
      <c r="C24" s="834">
        <v>23070</v>
      </c>
      <c r="D24" s="834">
        <v>24130</v>
      </c>
      <c r="E24" s="834">
        <v>23860</v>
      </c>
      <c r="F24" s="849"/>
      <c r="K24" s="834" t="s">
        <v>407</v>
      </c>
      <c r="L24" s="834" t="s">
        <v>408</v>
      </c>
      <c r="M24" s="834" t="s">
        <v>409</v>
      </c>
      <c r="N24" s="834" t="s">
        <v>410</v>
      </c>
      <c r="O24" s="834" t="s">
        <v>411</v>
      </c>
      <c r="P24" s="834" t="s">
        <v>412</v>
      </c>
      <c r="Q24" s="834" t="s">
        <v>413</v>
      </c>
    </row>
    <row r="25" spans="1:18" ht="14.25" customHeight="1" thickBot="1">
      <c r="A25" s="840" t="s">
        <v>268</v>
      </c>
      <c r="B25" s="844" t="s">
        <v>342</v>
      </c>
      <c r="C25" s="834">
        <v>27550</v>
      </c>
      <c r="D25" s="834">
        <v>25850</v>
      </c>
      <c r="E25" s="834">
        <v>25340</v>
      </c>
      <c r="F25" s="849"/>
      <c r="K25" s="834" t="s">
        <v>414</v>
      </c>
      <c r="L25" s="834" t="s">
        <v>415</v>
      </c>
      <c r="M25" s="834" t="s">
        <v>416</v>
      </c>
      <c r="N25" s="834" t="s">
        <v>417</v>
      </c>
      <c r="O25" s="834" t="s">
        <v>418</v>
      </c>
      <c r="P25" s="834" t="s">
        <v>419</v>
      </c>
      <c r="Q25" s="834" t="s">
        <v>420</v>
      </c>
    </row>
    <row r="26" spans="1:18" ht="14.25" customHeight="1" thickBot="1">
      <c r="A26" s="840" t="s">
        <v>268</v>
      </c>
      <c r="B26" s="844" t="s">
        <v>352</v>
      </c>
      <c r="C26" s="834"/>
      <c r="D26" s="834">
        <v>23900</v>
      </c>
      <c r="E26" s="834">
        <v>23590</v>
      </c>
      <c r="F26" s="849"/>
      <c r="K26" s="834" t="s">
        <v>421</v>
      </c>
      <c r="L26" s="834" t="s">
        <v>422</v>
      </c>
      <c r="M26" s="834" t="s">
        <v>423</v>
      </c>
      <c r="N26" s="834" t="s">
        <v>424</v>
      </c>
      <c r="O26" s="834" t="s">
        <v>425</v>
      </c>
      <c r="P26" s="834" t="s">
        <v>426</v>
      </c>
      <c r="Q26" s="834" t="s">
        <v>427</v>
      </c>
    </row>
    <row r="27" spans="1:18" ht="14.25" customHeight="1" thickBot="1">
      <c r="A27" s="840" t="s">
        <v>268</v>
      </c>
      <c r="B27" s="844" t="s">
        <v>362</v>
      </c>
      <c r="C27" s="834"/>
      <c r="D27" s="834">
        <v>22850</v>
      </c>
      <c r="E27" s="834">
        <v>21920</v>
      </c>
      <c r="F27" s="849"/>
      <c r="K27" s="834" t="s">
        <v>428</v>
      </c>
      <c r="L27" s="834" t="s">
        <v>429</v>
      </c>
      <c r="M27" s="834" t="s">
        <v>430</v>
      </c>
      <c r="N27" s="834" t="s">
        <v>431</v>
      </c>
      <c r="O27" s="834" t="s">
        <v>432</v>
      </c>
      <c r="P27" s="834" t="s">
        <v>433</v>
      </c>
      <c r="Q27" s="834" t="s">
        <v>434</v>
      </c>
    </row>
    <row r="28" spans="1:18" ht="14.25" customHeight="1" thickBot="1">
      <c r="A28" s="850" t="s">
        <v>268</v>
      </c>
      <c r="B28" s="845" t="s">
        <v>372</v>
      </c>
      <c r="C28" s="846"/>
      <c r="D28" s="846">
        <v>26610</v>
      </c>
      <c r="E28" s="846">
        <v>26370</v>
      </c>
      <c r="F28" s="847"/>
      <c r="K28" s="834" t="s">
        <v>435</v>
      </c>
      <c r="L28" s="834" t="s">
        <v>436</v>
      </c>
      <c r="M28" s="834" t="s">
        <v>437</v>
      </c>
      <c r="N28" s="834" t="s">
        <v>438</v>
      </c>
      <c r="O28" s="834" t="s">
        <v>439</v>
      </c>
      <c r="P28" s="834" t="s">
        <v>440</v>
      </c>
    </row>
    <row r="29" spans="1:18" ht="14.25" customHeight="1" thickBot="1">
      <c r="A29" s="840" t="s">
        <v>441</v>
      </c>
      <c r="B29" s="841" t="s">
        <v>442</v>
      </c>
      <c r="C29" s="841">
        <v>22090</v>
      </c>
      <c r="D29" s="841">
        <v>21860</v>
      </c>
      <c r="E29" s="841">
        <v>19380</v>
      </c>
      <c r="F29" s="842">
        <v>6610</v>
      </c>
      <c r="L29" s="834" t="s">
        <v>443</v>
      </c>
      <c r="M29" s="834" t="s">
        <v>444</v>
      </c>
      <c r="N29" s="834" t="s">
        <v>445</v>
      </c>
      <c r="O29" s="834" t="s">
        <v>446</v>
      </c>
      <c r="P29" s="834" t="s">
        <v>447</v>
      </c>
    </row>
    <row r="30" spans="1:18" ht="14.25" customHeight="1" thickBot="1">
      <c r="A30" s="840" t="s">
        <v>441</v>
      </c>
      <c r="B30" s="844" t="s">
        <v>188</v>
      </c>
      <c r="C30" s="834">
        <v>21380</v>
      </c>
      <c r="D30" s="834">
        <v>19930</v>
      </c>
      <c r="E30" s="834">
        <v>19860</v>
      </c>
      <c r="F30" s="848">
        <v>6010</v>
      </c>
      <c r="L30" s="834" t="s">
        <v>448</v>
      </c>
      <c r="M30" s="834" t="s">
        <v>449</v>
      </c>
      <c r="N30" s="834" t="s">
        <v>450</v>
      </c>
      <c r="O30" s="834" t="s">
        <v>1052</v>
      </c>
      <c r="P30" s="834" t="s">
        <v>451</v>
      </c>
    </row>
    <row r="31" spans="1:18" ht="14.25" customHeight="1" thickBot="1">
      <c r="A31" s="840" t="s">
        <v>441</v>
      </c>
      <c r="B31" s="844" t="s">
        <v>201</v>
      </c>
      <c r="C31" s="834">
        <v>21670</v>
      </c>
      <c r="D31" s="834">
        <v>20660</v>
      </c>
      <c r="E31" s="834">
        <v>20290</v>
      </c>
      <c r="F31" s="848">
        <v>5840</v>
      </c>
      <c r="L31" s="834" t="s">
        <v>452</v>
      </c>
      <c r="M31" s="834" t="s">
        <v>453</v>
      </c>
      <c r="N31" s="834" t="s">
        <v>454</v>
      </c>
      <c r="O31" s="834" t="s">
        <v>455</v>
      </c>
      <c r="P31" s="834" t="s">
        <v>456</v>
      </c>
    </row>
    <row r="32" spans="1:18" ht="14.25" customHeight="1" thickBot="1">
      <c r="A32" s="840" t="s">
        <v>441</v>
      </c>
      <c r="B32" s="844" t="s">
        <v>214</v>
      </c>
      <c r="C32" s="834">
        <v>22280</v>
      </c>
      <c r="D32" s="834">
        <v>21800</v>
      </c>
      <c r="E32" s="834">
        <v>17650</v>
      </c>
      <c r="F32" s="848">
        <v>4690</v>
      </c>
      <c r="L32" s="834" t="s">
        <v>457</v>
      </c>
      <c r="M32" s="834" t="s">
        <v>458</v>
      </c>
      <c r="N32" s="834" t="s">
        <v>459</v>
      </c>
      <c r="O32" s="834" t="s">
        <v>460</v>
      </c>
      <c r="P32" s="834" t="s">
        <v>461</v>
      </c>
    </row>
    <row r="33" spans="1:16" ht="14.25" customHeight="1" thickBot="1">
      <c r="A33" s="840" t="s">
        <v>441</v>
      </c>
      <c r="B33" s="844" t="s">
        <v>226</v>
      </c>
      <c r="C33" s="834">
        <v>22130</v>
      </c>
      <c r="D33" s="834">
        <v>20460</v>
      </c>
      <c r="E33" s="834">
        <v>18500</v>
      </c>
      <c r="F33" s="848">
        <v>5340</v>
      </c>
      <c r="L33" s="834" t="s">
        <v>462</v>
      </c>
      <c r="M33" s="834" t="s">
        <v>463</v>
      </c>
      <c r="N33" s="834" t="s">
        <v>464</v>
      </c>
      <c r="O33" s="834" t="s">
        <v>465</v>
      </c>
      <c r="P33" s="834" t="s">
        <v>466</v>
      </c>
    </row>
    <row r="34" spans="1:16" ht="14.25" customHeight="1" thickBot="1">
      <c r="A34" s="840" t="s">
        <v>441</v>
      </c>
      <c r="B34" s="844" t="s">
        <v>237</v>
      </c>
      <c r="C34" s="834">
        <v>22070</v>
      </c>
      <c r="D34" s="834">
        <v>20110</v>
      </c>
      <c r="E34" s="834">
        <v>18830</v>
      </c>
      <c r="F34" s="848">
        <v>5190</v>
      </c>
      <c r="L34" s="834" t="s">
        <v>467</v>
      </c>
      <c r="M34" s="834" t="s">
        <v>468</v>
      </c>
      <c r="N34" s="834" t="s">
        <v>469</v>
      </c>
      <c r="O34" s="834" t="s">
        <v>470</v>
      </c>
      <c r="P34" s="834" t="s">
        <v>471</v>
      </c>
    </row>
    <row r="35" spans="1:16" ht="14.25" customHeight="1" thickBot="1">
      <c r="A35" s="840" t="s">
        <v>441</v>
      </c>
      <c r="B35" s="844" t="s">
        <v>248</v>
      </c>
      <c r="C35" s="834">
        <v>22240</v>
      </c>
      <c r="D35" s="834">
        <v>19550</v>
      </c>
      <c r="E35" s="834">
        <v>19220</v>
      </c>
      <c r="F35" s="848">
        <v>5800</v>
      </c>
      <c r="L35" s="834" t="s">
        <v>472</v>
      </c>
      <c r="M35" s="834" t="s">
        <v>473</v>
      </c>
      <c r="N35" s="834" t="s">
        <v>474</v>
      </c>
      <c r="O35" s="834" t="s">
        <v>475</v>
      </c>
      <c r="P35" s="834" t="s">
        <v>476</v>
      </c>
    </row>
    <row r="36" spans="1:16" ht="14.25" customHeight="1" thickBot="1">
      <c r="A36" s="840" t="s">
        <v>441</v>
      </c>
      <c r="B36" s="844" t="s">
        <v>259</v>
      </c>
      <c r="C36" s="834">
        <v>19750</v>
      </c>
      <c r="D36" s="834">
        <v>19790</v>
      </c>
      <c r="E36" s="834">
        <v>18510</v>
      </c>
      <c r="F36" s="848">
        <v>6520</v>
      </c>
      <c r="M36" s="834" t="s">
        <v>477</v>
      </c>
      <c r="N36" s="834" t="s">
        <v>478</v>
      </c>
      <c r="O36" s="834" t="s">
        <v>479</v>
      </c>
      <c r="P36" s="834" t="s">
        <v>480</v>
      </c>
    </row>
    <row r="37" spans="1:16" ht="14.25" customHeight="1" thickBot="1">
      <c r="A37" s="840" t="s">
        <v>441</v>
      </c>
      <c r="B37" s="844" t="s">
        <v>271</v>
      </c>
      <c r="C37" s="834">
        <v>22380</v>
      </c>
      <c r="D37" s="834">
        <v>18530</v>
      </c>
      <c r="E37" s="834">
        <v>17930</v>
      </c>
      <c r="F37" s="848">
        <v>6270</v>
      </c>
      <c r="M37" s="834" t="s">
        <v>481</v>
      </c>
      <c r="N37" s="834" t="s">
        <v>482</v>
      </c>
      <c r="O37" s="834" t="s">
        <v>483</v>
      </c>
      <c r="P37" s="834" t="s">
        <v>484</v>
      </c>
    </row>
    <row r="38" spans="1:16" ht="14.25" customHeight="1" thickBot="1">
      <c r="A38" s="840" t="s">
        <v>441</v>
      </c>
      <c r="B38" s="844" t="s">
        <v>281</v>
      </c>
      <c r="C38" s="834">
        <v>20200</v>
      </c>
      <c r="D38" s="834">
        <v>20070</v>
      </c>
      <c r="E38" s="834">
        <v>19950</v>
      </c>
      <c r="F38" s="848"/>
      <c r="M38" s="834" t="s">
        <v>485</v>
      </c>
      <c r="N38" s="834" t="s">
        <v>486</v>
      </c>
      <c r="O38" s="834" t="s">
        <v>487</v>
      </c>
      <c r="P38" s="834" t="s">
        <v>488</v>
      </c>
    </row>
    <row r="39" spans="1:16" ht="14.25" customHeight="1" thickBot="1">
      <c r="A39" s="840" t="s">
        <v>441</v>
      </c>
      <c r="B39" s="844" t="s">
        <v>291</v>
      </c>
      <c r="C39" s="834">
        <v>19300</v>
      </c>
      <c r="D39" s="834">
        <v>20360</v>
      </c>
      <c r="E39" s="834">
        <v>20230</v>
      </c>
      <c r="F39" s="848"/>
      <c r="M39" s="834" t="s">
        <v>489</v>
      </c>
      <c r="N39" s="834" t="s">
        <v>490</v>
      </c>
      <c r="O39" s="834" t="s">
        <v>491</v>
      </c>
      <c r="P39" s="834" t="s">
        <v>492</v>
      </c>
    </row>
    <row r="40" spans="1:16" ht="14.25" customHeight="1" thickBot="1">
      <c r="A40" s="840" t="s">
        <v>441</v>
      </c>
      <c r="B40" s="844" t="s">
        <v>301</v>
      </c>
      <c r="C40" s="834">
        <v>20210</v>
      </c>
      <c r="D40" s="834">
        <v>19060</v>
      </c>
      <c r="E40" s="834">
        <v>18890</v>
      </c>
      <c r="F40" s="848"/>
      <c r="M40" s="834" t="s">
        <v>493</v>
      </c>
      <c r="N40" s="834" t="s">
        <v>494</v>
      </c>
      <c r="O40" s="834" t="s">
        <v>495</v>
      </c>
      <c r="P40" s="834" t="s">
        <v>496</v>
      </c>
    </row>
    <row r="41" spans="1:16" ht="14.25" customHeight="1" thickBot="1">
      <c r="A41" s="840" t="s">
        <v>441</v>
      </c>
      <c r="B41" s="844" t="s">
        <v>311</v>
      </c>
      <c r="C41" s="834">
        <v>20560</v>
      </c>
      <c r="D41" s="834">
        <v>21040</v>
      </c>
      <c r="E41" s="834">
        <v>20740</v>
      </c>
      <c r="F41" s="848"/>
      <c r="M41" s="844" t="s">
        <v>497</v>
      </c>
      <c r="N41" s="844" t="s">
        <v>498</v>
      </c>
      <c r="P41" s="844" t="s">
        <v>499</v>
      </c>
    </row>
    <row r="42" spans="1:16" ht="14.25" customHeight="1" thickBot="1">
      <c r="A42" s="840" t="s">
        <v>441</v>
      </c>
      <c r="B42" s="844" t="s">
        <v>322</v>
      </c>
      <c r="C42" s="834">
        <v>19280</v>
      </c>
      <c r="D42" s="834">
        <v>22940</v>
      </c>
      <c r="E42" s="834">
        <v>22500</v>
      </c>
      <c r="F42" s="848"/>
      <c r="M42" s="834" t="s">
        <v>500</v>
      </c>
      <c r="N42" s="834" t="s">
        <v>501</v>
      </c>
      <c r="P42" s="834" t="s">
        <v>502</v>
      </c>
    </row>
    <row r="43" spans="1:16" ht="14.25" customHeight="1" thickBot="1">
      <c r="A43" s="840" t="s">
        <v>441</v>
      </c>
      <c r="B43" s="844" t="s">
        <v>333</v>
      </c>
      <c r="C43" s="834">
        <v>21520</v>
      </c>
      <c r="D43" s="834">
        <v>19230</v>
      </c>
      <c r="E43" s="834">
        <v>18540</v>
      </c>
      <c r="F43" s="848"/>
      <c r="M43" s="834" t="s">
        <v>503</v>
      </c>
      <c r="N43" s="834" t="s">
        <v>504</v>
      </c>
      <c r="P43" s="834" t="s">
        <v>505</v>
      </c>
    </row>
    <row r="44" spans="1:16" ht="14.25" customHeight="1" thickBot="1">
      <c r="A44" s="840" t="s">
        <v>441</v>
      </c>
      <c r="B44" s="844" t="s">
        <v>343</v>
      </c>
      <c r="C44" s="834">
        <v>23260</v>
      </c>
      <c r="D44" s="834">
        <v>21180</v>
      </c>
      <c r="E44" s="834">
        <v>20730</v>
      </c>
      <c r="F44" s="848"/>
      <c r="M44" s="834" t="s">
        <v>506</v>
      </c>
      <c r="N44" s="834" t="s">
        <v>507</v>
      </c>
      <c r="P44" s="834" t="s">
        <v>508</v>
      </c>
    </row>
    <row r="45" spans="1:16" ht="14.25" customHeight="1" thickBot="1">
      <c r="A45" s="840" t="s">
        <v>441</v>
      </c>
      <c r="B45" s="844" t="s">
        <v>353</v>
      </c>
      <c r="C45" s="834">
        <v>19610</v>
      </c>
      <c r="D45" s="834">
        <v>18090</v>
      </c>
      <c r="E45" s="834">
        <v>17970</v>
      </c>
      <c r="F45" s="848"/>
      <c r="M45" s="834" t="s">
        <v>509</v>
      </c>
      <c r="N45" s="834" t="s">
        <v>510</v>
      </c>
      <c r="P45" s="834" t="s">
        <v>511</v>
      </c>
    </row>
    <row r="46" spans="1:16" ht="14.25" customHeight="1" thickBot="1">
      <c r="A46" s="840" t="s">
        <v>441</v>
      </c>
      <c r="B46" s="844" t="s">
        <v>363</v>
      </c>
      <c r="C46" s="834">
        <v>21660</v>
      </c>
      <c r="D46" s="834">
        <v>19190</v>
      </c>
      <c r="E46" s="834">
        <v>19790</v>
      </c>
      <c r="F46" s="848"/>
      <c r="M46" s="834" t="s">
        <v>512</v>
      </c>
      <c r="N46" s="834" t="s">
        <v>513</v>
      </c>
      <c r="P46" s="834" t="s">
        <v>514</v>
      </c>
    </row>
    <row r="47" spans="1:16" ht="14.25" customHeight="1" thickBot="1">
      <c r="A47" s="840" t="s">
        <v>441</v>
      </c>
      <c r="B47" s="844" t="s">
        <v>373</v>
      </c>
      <c r="C47" s="834">
        <v>18220</v>
      </c>
      <c r="D47" s="834"/>
      <c r="E47" s="834">
        <v>17220</v>
      </c>
      <c r="F47" s="848"/>
      <c r="M47" s="834" t="s">
        <v>515</v>
      </c>
      <c r="N47" s="834" t="s">
        <v>516</v>
      </c>
    </row>
    <row r="48" spans="1:16" ht="14.25" customHeight="1" thickBot="1">
      <c r="A48" s="840" t="s">
        <v>441</v>
      </c>
      <c r="B48" s="845" t="s">
        <v>382</v>
      </c>
      <c r="C48" s="846">
        <v>19430</v>
      </c>
      <c r="D48" s="846"/>
      <c r="E48" s="846">
        <v>17830</v>
      </c>
      <c r="F48" s="851"/>
      <c r="M48" s="834" t="s">
        <v>517</v>
      </c>
      <c r="N48" s="834" t="s">
        <v>518</v>
      </c>
    </row>
    <row r="49" spans="1:14" ht="14.25" customHeight="1" thickBot="1">
      <c r="A49" s="840" t="s">
        <v>136</v>
      </c>
      <c r="B49" s="841" t="s">
        <v>519</v>
      </c>
      <c r="C49" s="841">
        <v>17090</v>
      </c>
      <c r="D49" s="841">
        <v>16950</v>
      </c>
      <c r="E49" s="841">
        <v>16310</v>
      </c>
      <c r="F49" s="842">
        <v>4540</v>
      </c>
      <c r="M49" s="834" t="s">
        <v>520</v>
      </c>
      <c r="N49" s="834" t="s">
        <v>521</v>
      </c>
    </row>
    <row r="50" spans="1:14" ht="14.25" customHeight="1" thickBot="1">
      <c r="A50" s="840" t="s">
        <v>136</v>
      </c>
      <c r="B50" s="834" t="s">
        <v>189</v>
      </c>
      <c r="C50" s="834">
        <v>19040</v>
      </c>
      <c r="D50" s="834">
        <v>16960</v>
      </c>
      <c r="E50" s="834">
        <v>14800</v>
      </c>
      <c r="F50" s="848">
        <v>3940</v>
      </c>
    </row>
    <row r="51" spans="1:14" ht="14.25" customHeight="1" thickBot="1">
      <c r="A51" s="840" t="s">
        <v>136</v>
      </c>
      <c r="B51" s="834" t="s">
        <v>202</v>
      </c>
      <c r="C51" s="834">
        <v>17040</v>
      </c>
      <c r="D51" s="834">
        <v>16930</v>
      </c>
      <c r="E51" s="834">
        <v>15030</v>
      </c>
      <c r="F51" s="848">
        <v>4120</v>
      </c>
    </row>
    <row r="52" spans="1:14" ht="14.25" customHeight="1" thickBot="1">
      <c r="A52" s="840" t="s">
        <v>136</v>
      </c>
      <c r="B52" s="834" t="s">
        <v>215</v>
      </c>
      <c r="C52" s="834">
        <v>17110</v>
      </c>
      <c r="D52" s="834">
        <v>17750</v>
      </c>
      <c r="E52" s="834">
        <v>17310</v>
      </c>
      <c r="F52" s="848">
        <v>3220</v>
      </c>
    </row>
    <row r="53" spans="1:14" ht="14.25" customHeight="1" thickBot="1">
      <c r="A53" s="840" t="s">
        <v>136</v>
      </c>
      <c r="B53" s="834" t="s">
        <v>227</v>
      </c>
      <c r="C53" s="834">
        <v>17810</v>
      </c>
      <c r="D53" s="834">
        <v>17260</v>
      </c>
      <c r="E53" s="834">
        <v>17090</v>
      </c>
      <c r="F53" s="848">
        <v>3520</v>
      </c>
    </row>
    <row r="54" spans="1:14" ht="14.25" customHeight="1" thickBot="1">
      <c r="A54" s="840" t="s">
        <v>136</v>
      </c>
      <c r="B54" s="834" t="s">
        <v>238</v>
      </c>
      <c r="C54" s="834">
        <v>17410</v>
      </c>
      <c r="D54" s="834">
        <v>16780</v>
      </c>
      <c r="E54" s="834">
        <v>16370</v>
      </c>
      <c r="F54" s="848">
        <v>3410</v>
      </c>
    </row>
    <row r="55" spans="1:14" ht="14.25" customHeight="1" thickBot="1">
      <c r="A55" s="840" t="s">
        <v>136</v>
      </c>
      <c r="B55" s="834" t="s">
        <v>249</v>
      </c>
      <c r="C55" s="834">
        <v>16930</v>
      </c>
      <c r="D55" s="834">
        <v>14720</v>
      </c>
      <c r="E55" s="834">
        <v>15000</v>
      </c>
      <c r="F55" s="848">
        <v>3710</v>
      </c>
    </row>
    <row r="56" spans="1:14" ht="14.25" customHeight="1" thickBot="1">
      <c r="A56" s="840" t="s">
        <v>136</v>
      </c>
      <c r="B56" s="834" t="s">
        <v>260</v>
      </c>
      <c r="C56" s="834">
        <v>14930</v>
      </c>
      <c r="D56" s="834">
        <v>15850</v>
      </c>
      <c r="E56" s="834">
        <v>14320</v>
      </c>
      <c r="F56" s="848">
        <v>3960</v>
      </c>
    </row>
    <row r="57" spans="1:14" ht="14.25" customHeight="1" thickBot="1">
      <c r="A57" s="840" t="s">
        <v>136</v>
      </c>
      <c r="B57" s="834" t="s">
        <v>272</v>
      </c>
      <c r="C57" s="834">
        <v>16160</v>
      </c>
      <c r="D57" s="834">
        <v>16190</v>
      </c>
      <c r="E57" s="834">
        <v>15650</v>
      </c>
      <c r="F57" s="848">
        <v>4200</v>
      </c>
    </row>
    <row r="58" spans="1:14" ht="14.25" customHeight="1" thickBot="1">
      <c r="A58" s="840" t="s">
        <v>136</v>
      </c>
      <c r="B58" s="834" t="s">
        <v>282</v>
      </c>
      <c r="C58" s="834">
        <v>16360</v>
      </c>
      <c r="D58" s="834">
        <v>14050</v>
      </c>
      <c r="E58" s="834">
        <v>16070</v>
      </c>
      <c r="F58" s="848">
        <v>3990</v>
      </c>
    </row>
    <row r="59" spans="1:14" ht="14.25" customHeight="1" thickBot="1">
      <c r="A59" s="840" t="s">
        <v>136</v>
      </c>
      <c r="B59" s="834" t="s">
        <v>292</v>
      </c>
      <c r="C59" s="834">
        <v>14160</v>
      </c>
      <c r="D59" s="834">
        <v>16620</v>
      </c>
      <c r="E59" s="834">
        <v>13940</v>
      </c>
      <c r="F59" s="848">
        <v>4260</v>
      </c>
    </row>
    <row r="60" spans="1:14" ht="14.25" customHeight="1" thickBot="1">
      <c r="A60" s="840" t="s">
        <v>136</v>
      </c>
      <c r="B60" s="834" t="s">
        <v>302</v>
      </c>
      <c r="C60" s="834">
        <v>16750</v>
      </c>
      <c r="D60" s="834">
        <v>13910</v>
      </c>
      <c r="E60" s="834">
        <v>16550</v>
      </c>
      <c r="F60" s="848">
        <v>4550</v>
      </c>
    </row>
    <row r="61" spans="1:14" ht="14.25" customHeight="1" thickBot="1">
      <c r="A61" s="840" t="s">
        <v>136</v>
      </c>
      <c r="B61" s="834" t="s">
        <v>312</v>
      </c>
      <c r="C61" s="834">
        <v>14000</v>
      </c>
      <c r="D61" s="834">
        <v>14550</v>
      </c>
      <c r="E61" s="834">
        <v>13860</v>
      </c>
      <c r="F61" s="852"/>
    </row>
    <row r="62" spans="1:14" ht="14.25" customHeight="1" thickBot="1">
      <c r="A62" s="840" t="s">
        <v>136</v>
      </c>
      <c r="B62" s="834" t="s">
        <v>323</v>
      </c>
      <c r="C62" s="834">
        <v>14660</v>
      </c>
      <c r="D62" s="834">
        <v>17450</v>
      </c>
      <c r="E62" s="834">
        <v>14470</v>
      </c>
      <c r="F62" s="852"/>
    </row>
    <row r="63" spans="1:14" ht="14.25" customHeight="1" thickBot="1">
      <c r="A63" s="840" t="s">
        <v>136</v>
      </c>
      <c r="B63" s="834" t="s">
        <v>334</v>
      </c>
      <c r="C63" s="834">
        <v>17610</v>
      </c>
      <c r="D63" s="834">
        <v>16500</v>
      </c>
      <c r="E63" s="834">
        <v>17330</v>
      </c>
      <c r="F63" s="852"/>
    </row>
    <row r="64" spans="1:14" ht="14.25" customHeight="1" thickBot="1">
      <c r="A64" s="840" t="s">
        <v>136</v>
      </c>
      <c r="B64" s="834" t="s">
        <v>344</v>
      </c>
      <c r="C64" s="834">
        <v>16590</v>
      </c>
      <c r="D64" s="834">
        <v>15130</v>
      </c>
      <c r="E64" s="834">
        <v>16420</v>
      </c>
      <c r="F64" s="852"/>
    </row>
    <row r="65" spans="1:6" s="828" customFormat="1" ht="14.25" customHeight="1" thickBot="1">
      <c r="A65" s="840" t="s">
        <v>136</v>
      </c>
      <c r="B65" s="834" t="s">
        <v>354</v>
      </c>
      <c r="C65" s="834">
        <v>15220</v>
      </c>
      <c r="D65" s="834">
        <v>14660</v>
      </c>
      <c r="E65" s="834">
        <v>15060</v>
      </c>
      <c r="F65" s="848"/>
    </row>
    <row r="66" spans="1:6" s="828" customFormat="1" ht="14.25" customHeight="1" thickBot="1">
      <c r="A66" s="840" t="s">
        <v>136</v>
      </c>
      <c r="B66" s="834" t="s">
        <v>364</v>
      </c>
      <c r="C66" s="834">
        <v>14720</v>
      </c>
      <c r="D66" s="834">
        <v>15970</v>
      </c>
      <c r="E66" s="834">
        <v>14610</v>
      </c>
      <c r="F66" s="848"/>
    </row>
    <row r="67" spans="1:6" s="828" customFormat="1" ht="14.25" customHeight="1" thickBot="1">
      <c r="A67" s="840" t="s">
        <v>136</v>
      </c>
      <c r="B67" s="834" t="s">
        <v>374</v>
      </c>
      <c r="C67" s="834">
        <v>16080</v>
      </c>
      <c r="D67" s="834">
        <v>14840</v>
      </c>
      <c r="E67" s="834">
        <v>15630</v>
      </c>
      <c r="F67" s="848"/>
    </row>
    <row r="68" spans="1:6" s="828" customFormat="1" ht="14.25" customHeight="1" thickBot="1">
      <c r="A68" s="840" t="s">
        <v>136</v>
      </c>
      <c r="B68" s="834" t="s">
        <v>383</v>
      </c>
      <c r="C68" s="834">
        <v>14940</v>
      </c>
      <c r="D68" s="834">
        <v>18000</v>
      </c>
      <c r="E68" s="834">
        <v>14040</v>
      </c>
      <c r="F68" s="848"/>
    </row>
    <row r="69" spans="1:6" s="828" customFormat="1" ht="14.25" customHeight="1" thickBot="1">
      <c r="A69" s="840" t="s">
        <v>136</v>
      </c>
      <c r="B69" s="834" t="s">
        <v>392</v>
      </c>
      <c r="C69" s="834">
        <v>18810</v>
      </c>
      <c r="D69" s="834">
        <v>15100</v>
      </c>
      <c r="E69" s="834">
        <v>14710</v>
      </c>
      <c r="F69" s="848"/>
    </row>
    <row r="70" spans="1:6" s="828" customFormat="1" ht="14.25" customHeight="1" thickBot="1">
      <c r="A70" s="840" t="s">
        <v>136</v>
      </c>
      <c r="B70" s="834" t="s">
        <v>400</v>
      </c>
      <c r="C70" s="834">
        <v>18270</v>
      </c>
      <c r="D70" s="834"/>
      <c r="E70" s="834"/>
      <c r="F70" s="848"/>
    </row>
    <row r="71" spans="1:6" s="828" customFormat="1" ht="14.25" customHeight="1" thickBot="1">
      <c r="A71" s="840" t="s">
        <v>136</v>
      </c>
      <c r="B71" s="834" t="s">
        <v>407</v>
      </c>
      <c r="C71" s="834">
        <v>15230</v>
      </c>
      <c r="D71" s="834"/>
      <c r="E71" s="834"/>
      <c r="F71" s="848"/>
    </row>
    <row r="72" spans="1:6" s="828" customFormat="1" ht="14.25" customHeight="1" thickBot="1">
      <c r="A72" s="840" t="s">
        <v>136</v>
      </c>
      <c r="B72" s="834" t="s">
        <v>414</v>
      </c>
      <c r="C72" s="834"/>
      <c r="D72" s="834"/>
      <c r="E72" s="834"/>
      <c r="F72" s="848">
        <v>4120</v>
      </c>
    </row>
    <row r="73" spans="1:6" s="828" customFormat="1" ht="14.25" customHeight="1" thickBot="1">
      <c r="A73" s="840" t="s">
        <v>136</v>
      </c>
      <c r="B73" s="834" t="s">
        <v>421</v>
      </c>
      <c r="C73" s="834"/>
      <c r="D73" s="834"/>
      <c r="E73" s="834"/>
      <c r="F73" s="848">
        <v>3930</v>
      </c>
    </row>
    <row r="74" spans="1:6" s="828" customFormat="1" ht="14.25" customHeight="1" thickBot="1">
      <c r="A74" s="840" t="s">
        <v>136</v>
      </c>
      <c r="B74" s="834" t="s">
        <v>428</v>
      </c>
      <c r="C74" s="834"/>
      <c r="D74" s="834"/>
      <c r="E74" s="834"/>
      <c r="F74" s="848">
        <v>4060</v>
      </c>
    </row>
    <row r="75" spans="1:6" s="828" customFormat="1" ht="14.25" customHeight="1" thickBot="1">
      <c r="A75" s="840" t="s">
        <v>136</v>
      </c>
      <c r="B75" s="846" t="s">
        <v>435</v>
      </c>
      <c r="C75" s="846"/>
      <c r="D75" s="846"/>
      <c r="E75" s="846"/>
      <c r="F75" s="851">
        <v>3750</v>
      </c>
    </row>
    <row r="76" spans="1:6" s="828" customFormat="1" ht="14.25" customHeight="1" thickBot="1">
      <c r="A76" s="840" t="s">
        <v>522</v>
      </c>
      <c r="B76" s="841" t="s">
        <v>523</v>
      </c>
      <c r="C76" s="841">
        <v>14690</v>
      </c>
      <c r="D76" s="841">
        <v>14640</v>
      </c>
      <c r="E76" s="841">
        <v>14590</v>
      </c>
      <c r="F76" s="842">
        <v>3060</v>
      </c>
    </row>
    <row r="77" spans="1:6" s="828" customFormat="1" ht="14.25" customHeight="1" thickBot="1">
      <c r="A77" s="840" t="s">
        <v>522</v>
      </c>
      <c r="B77" s="834" t="s">
        <v>190</v>
      </c>
      <c r="C77" s="834">
        <v>12550</v>
      </c>
      <c r="D77" s="834">
        <v>12480</v>
      </c>
      <c r="E77" s="834">
        <v>12450</v>
      </c>
      <c r="F77" s="848">
        <v>2590</v>
      </c>
    </row>
    <row r="78" spans="1:6" s="828" customFormat="1" ht="14.25" customHeight="1" thickBot="1">
      <c r="A78" s="840" t="s">
        <v>522</v>
      </c>
      <c r="B78" s="834" t="s">
        <v>203</v>
      </c>
      <c r="C78" s="834">
        <v>14360</v>
      </c>
      <c r="D78" s="834">
        <v>14320</v>
      </c>
      <c r="E78" s="834">
        <v>12510</v>
      </c>
      <c r="F78" s="848">
        <v>2700</v>
      </c>
    </row>
    <row r="79" spans="1:6" s="828" customFormat="1" ht="14.25" customHeight="1" thickBot="1">
      <c r="A79" s="840" t="s">
        <v>522</v>
      </c>
      <c r="B79" s="834" t="s">
        <v>216</v>
      </c>
      <c r="C79" s="834">
        <v>12590</v>
      </c>
      <c r="D79" s="834">
        <v>12540</v>
      </c>
      <c r="E79" s="834">
        <v>12350</v>
      </c>
      <c r="F79" s="848">
        <v>2740</v>
      </c>
    </row>
    <row r="80" spans="1:6" s="828" customFormat="1" ht="14.25" customHeight="1" thickBot="1">
      <c r="A80" s="840" t="s">
        <v>522</v>
      </c>
      <c r="B80" s="834" t="s">
        <v>228</v>
      </c>
      <c r="C80" s="834">
        <v>12450</v>
      </c>
      <c r="D80" s="834">
        <v>12370</v>
      </c>
      <c r="E80" s="834">
        <v>10790</v>
      </c>
      <c r="F80" s="848">
        <v>2290</v>
      </c>
    </row>
    <row r="81" spans="1:6" s="828" customFormat="1" ht="14.25" customHeight="1" thickBot="1">
      <c r="A81" s="840" t="s">
        <v>522</v>
      </c>
      <c r="B81" s="834" t="s">
        <v>239</v>
      </c>
      <c r="C81" s="834">
        <v>14210</v>
      </c>
      <c r="D81" s="834">
        <v>14150</v>
      </c>
      <c r="E81" s="834">
        <v>12730</v>
      </c>
      <c r="F81" s="848">
        <v>2240</v>
      </c>
    </row>
    <row r="82" spans="1:6" s="828" customFormat="1" ht="14.25" customHeight="1" thickBot="1">
      <c r="A82" s="840" t="s">
        <v>522</v>
      </c>
      <c r="B82" s="834" t="s">
        <v>250</v>
      </c>
      <c r="C82" s="834">
        <v>10860</v>
      </c>
      <c r="D82" s="834">
        <v>10820</v>
      </c>
      <c r="E82" s="834">
        <v>14720</v>
      </c>
      <c r="F82" s="848">
        <v>2490</v>
      </c>
    </row>
    <row r="83" spans="1:6" s="828" customFormat="1" ht="14.25" customHeight="1" thickBot="1">
      <c r="A83" s="840" t="s">
        <v>522</v>
      </c>
      <c r="B83" s="834" t="s">
        <v>261</v>
      </c>
      <c r="C83" s="834">
        <v>12810</v>
      </c>
      <c r="D83" s="834">
        <v>12760</v>
      </c>
      <c r="E83" s="834">
        <v>14830</v>
      </c>
      <c r="F83" s="848">
        <v>2450</v>
      </c>
    </row>
    <row r="84" spans="1:6" s="828" customFormat="1" ht="14.25" customHeight="1" thickBot="1">
      <c r="A84" s="840" t="s">
        <v>522</v>
      </c>
      <c r="B84" s="834" t="s">
        <v>273</v>
      </c>
      <c r="C84" s="834">
        <v>14950</v>
      </c>
      <c r="D84" s="834">
        <v>14810</v>
      </c>
      <c r="E84" s="834">
        <v>12590</v>
      </c>
      <c r="F84" s="848">
        <v>2540</v>
      </c>
    </row>
    <row r="85" spans="1:6" s="828" customFormat="1" ht="14.25" customHeight="1" thickBot="1">
      <c r="A85" s="840" t="s">
        <v>522</v>
      </c>
      <c r="B85" s="834" t="s">
        <v>283</v>
      </c>
      <c r="C85" s="834">
        <v>14960</v>
      </c>
      <c r="D85" s="834">
        <v>14890</v>
      </c>
      <c r="E85" s="834">
        <v>12840</v>
      </c>
      <c r="F85" s="848">
        <v>2840</v>
      </c>
    </row>
    <row r="86" spans="1:6" s="828" customFormat="1" ht="14.25" customHeight="1" thickBot="1">
      <c r="A86" s="840" t="s">
        <v>522</v>
      </c>
      <c r="B86" s="834" t="s">
        <v>293</v>
      </c>
      <c r="C86" s="834">
        <v>12730</v>
      </c>
      <c r="D86" s="834">
        <v>12660</v>
      </c>
      <c r="E86" s="834">
        <v>13310</v>
      </c>
      <c r="F86" s="848">
        <v>3140</v>
      </c>
    </row>
    <row r="87" spans="1:6" s="828" customFormat="1" ht="14.25" customHeight="1" thickBot="1">
      <c r="A87" s="840" t="s">
        <v>522</v>
      </c>
      <c r="B87" s="834" t="s">
        <v>303</v>
      </c>
      <c r="C87" s="834">
        <v>12940</v>
      </c>
      <c r="D87" s="834">
        <v>12890</v>
      </c>
      <c r="E87" s="834">
        <v>11580</v>
      </c>
      <c r="F87" s="852"/>
    </row>
    <row r="88" spans="1:6" s="828" customFormat="1" ht="14.25" customHeight="1" thickBot="1">
      <c r="A88" s="840" t="s">
        <v>522</v>
      </c>
      <c r="B88" s="834" t="s">
        <v>313</v>
      </c>
      <c r="C88" s="834">
        <v>13430</v>
      </c>
      <c r="D88" s="834">
        <v>13360</v>
      </c>
      <c r="E88" s="834">
        <v>12790</v>
      </c>
      <c r="F88" s="852"/>
    </row>
    <row r="89" spans="1:6" s="828" customFormat="1" ht="14.25" customHeight="1" thickBot="1">
      <c r="A89" s="840" t="s">
        <v>522</v>
      </c>
      <c r="B89" s="834" t="s">
        <v>324</v>
      </c>
      <c r="C89" s="834">
        <v>11680</v>
      </c>
      <c r="D89" s="834">
        <v>11630</v>
      </c>
      <c r="E89" s="834">
        <v>11320</v>
      </c>
      <c r="F89" s="852"/>
    </row>
    <row r="90" spans="1:6" s="828" customFormat="1" ht="14.25" customHeight="1" thickBot="1">
      <c r="A90" s="840" t="s">
        <v>522</v>
      </c>
      <c r="B90" s="834" t="s">
        <v>335</v>
      </c>
      <c r="C90" s="834">
        <v>12890</v>
      </c>
      <c r="D90" s="834">
        <v>12820</v>
      </c>
      <c r="E90" s="834">
        <v>12710</v>
      </c>
      <c r="F90" s="852"/>
    </row>
    <row r="91" spans="1:6" s="828" customFormat="1" ht="14.25" customHeight="1" thickBot="1">
      <c r="A91" s="840" t="s">
        <v>522</v>
      </c>
      <c r="B91" s="834" t="s">
        <v>345</v>
      </c>
      <c r="C91" s="834">
        <v>11410</v>
      </c>
      <c r="D91" s="834">
        <v>11360</v>
      </c>
      <c r="E91" s="834">
        <v>12670</v>
      </c>
      <c r="F91" s="852"/>
    </row>
    <row r="92" spans="1:6" s="828" customFormat="1" ht="14.25" customHeight="1" thickBot="1">
      <c r="A92" s="840" t="s">
        <v>522</v>
      </c>
      <c r="B92" s="834" t="s">
        <v>355</v>
      </c>
      <c r="C92" s="834">
        <v>12770</v>
      </c>
      <c r="D92" s="834">
        <v>12740</v>
      </c>
      <c r="E92" s="834">
        <v>11970</v>
      </c>
      <c r="F92" s="852"/>
    </row>
    <row r="93" spans="1:6" s="828" customFormat="1" ht="14.25" customHeight="1" thickBot="1">
      <c r="A93" s="840" t="s">
        <v>522</v>
      </c>
      <c r="B93" s="834" t="s">
        <v>365</v>
      </c>
      <c r="C93" s="834">
        <v>12740</v>
      </c>
      <c r="D93" s="834">
        <v>12700</v>
      </c>
      <c r="E93" s="834">
        <v>12540</v>
      </c>
      <c r="F93" s="852"/>
    </row>
    <row r="94" spans="1:6" s="828" customFormat="1" ht="14.25" customHeight="1" thickBot="1">
      <c r="A94" s="840" t="s">
        <v>522</v>
      </c>
      <c r="B94" s="834" t="s">
        <v>375</v>
      </c>
      <c r="C94" s="834">
        <v>12020</v>
      </c>
      <c r="D94" s="834">
        <v>11990</v>
      </c>
      <c r="E94" s="834">
        <v>13110</v>
      </c>
      <c r="F94" s="852"/>
    </row>
    <row r="95" spans="1:6" s="828" customFormat="1" ht="14.25" customHeight="1" thickBot="1">
      <c r="A95" s="840" t="s">
        <v>522</v>
      </c>
      <c r="B95" s="834" t="s">
        <v>384</v>
      </c>
      <c r="C95" s="834">
        <v>12620</v>
      </c>
      <c r="D95" s="834">
        <v>12580</v>
      </c>
      <c r="E95" s="834">
        <v>13160</v>
      </c>
      <c r="F95" s="848"/>
    </row>
    <row r="96" spans="1:6" s="828" customFormat="1" ht="14.25" customHeight="1" thickBot="1">
      <c r="A96" s="840" t="s">
        <v>522</v>
      </c>
      <c r="B96" s="834" t="s">
        <v>393</v>
      </c>
      <c r="C96" s="834">
        <v>13200</v>
      </c>
      <c r="D96" s="834">
        <v>13150</v>
      </c>
      <c r="E96" s="834">
        <v>12900</v>
      </c>
      <c r="F96" s="848"/>
    </row>
    <row r="97" spans="1:6" s="828" customFormat="1" ht="14.25" customHeight="1" thickBot="1">
      <c r="A97" s="840" t="s">
        <v>522</v>
      </c>
      <c r="B97" s="834" t="s">
        <v>401</v>
      </c>
      <c r="C97" s="834">
        <v>13270</v>
      </c>
      <c r="D97" s="834">
        <v>13210</v>
      </c>
      <c r="E97" s="834">
        <v>11080</v>
      </c>
      <c r="F97" s="848"/>
    </row>
    <row r="98" spans="1:6" s="828" customFormat="1" ht="14.25" customHeight="1" thickBot="1">
      <c r="A98" s="840" t="s">
        <v>522</v>
      </c>
      <c r="B98" s="834" t="s">
        <v>408</v>
      </c>
      <c r="C98" s="834">
        <v>13010</v>
      </c>
      <c r="D98" s="834">
        <v>12930</v>
      </c>
      <c r="E98" s="834">
        <v>12840</v>
      </c>
      <c r="F98" s="848"/>
    </row>
    <row r="99" spans="1:6" s="828" customFormat="1" ht="14.25" customHeight="1" thickBot="1">
      <c r="A99" s="840" t="s">
        <v>522</v>
      </c>
      <c r="B99" s="834" t="s">
        <v>415</v>
      </c>
      <c r="C99" s="834">
        <v>11190</v>
      </c>
      <c r="D99" s="834">
        <v>11130</v>
      </c>
      <c r="E99" s="834"/>
      <c r="F99" s="848"/>
    </row>
    <row r="100" spans="1:6" s="828" customFormat="1" ht="14.25" customHeight="1" thickBot="1">
      <c r="A100" s="840" t="s">
        <v>522</v>
      </c>
      <c r="B100" s="834" t="s">
        <v>422</v>
      </c>
      <c r="C100" s="834">
        <v>14280</v>
      </c>
      <c r="D100" s="834">
        <v>14180</v>
      </c>
      <c r="E100" s="834"/>
      <c r="F100" s="848"/>
    </row>
    <row r="101" spans="1:6" s="828" customFormat="1" ht="14.25" customHeight="1" thickBot="1">
      <c r="A101" s="840" t="s">
        <v>522</v>
      </c>
      <c r="B101" s="834" t="s">
        <v>429</v>
      </c>
      <c r="C101" s="834">
        <v>12960</v>
      </c>
      <c r="D101" s="834">
        <v>12890</v>
      </c>
      <c r="E101" s="834"/>
      <c r="F101" s="848"/>
    </row>
    <row r="102" spans="1:6" s="828" customFormat="1" ht="14.25" customHeight="1" thickBot="1">
      <c r="A102" s="840" t="s">
        <v>522</v>
      </c>
      <c r="B102" s="834" t="s">
        <v>436</v>
      </c>
      <c r="C102" s="834"/>
      <c r="D102" s="834"/>
      <c r="E102" s="834"/>
      <c r="F102" s="848">
        <v>3100</v>
      </c>
    </row>
    <row r="103" spans="1:6" s="828" customFormat="1" ht="14.25" customHeight="1" thickBot="1">
      <c r="A103" s="840" t="s">
        <v>522</v>
      </c>
      <c r="B103" s="834" t="s">
        <v>443</v>
      </c>
      <c r="C103" s="834"/>
      <c r="D103" s="834"/>
      <c r="E103" s="834"/>
      <c r="F103" s="848">
        <v>2320</v>
      </c>
    </row>
    <row r="104" spans="1:6" s="828" customFormat="1" ht="14.25" customHeight="1" thickBot="1">
      <c r="A104" s="840" t="s">
        <v>522</v>
      </c>
      <c r="B104" s="834" t="s">
        <v>448</v>
      </c>
      <c r="C104" s="834"/>
      <c r="D104" s="834"/>
      <c r="E104" s="834"/>
      <c r="F104" s="848">
        <v>2320</v>
      </c>
    </row>
    <row r="105" spans="1:6" s="828" customFormat="1" ht="14.25" customHeight="1" thickBot="1">
      <c r="A105" s="840" t="s">
        <v>522</v>
      </c>
      <c r="B105" s="834" t="s">
        <v>452</v>
      </c>
      <c r="C105" s="834"/>
      <c r="D105" s="834"/>
      <c r="E105" s="834"/>
      <c r="F105" s="848">
        <v>2320</v>
      </c>
    </row>
    <row r="106" spans="1:6" s="828" customFormat="1" ht="14.25" customHeight="1" thickBot="1">
      <c r="A106" s="840" t="s">
        <v>522</v>
      </c>
      <c r="B106" s="834" t="s">
        <v>457</v>
      </c>
      <c r="C106" s="834"/>
      <c r="D106" s="834"/>
      <c r="E106" s="834"/>
      <c r="F106" s="848">
        <v>2320</v>
      </c>
    </row>
    <row r="107" spans="1:6" s="828" customFormat="1" ht="14.25" customHeight="1" thickBot="1">
      <c r="A107" s="840" t="s">
        <v>522</v>
      </c>
      <c r="B107" s="834" t="s">
        <v>462</v>
      </c>
      <c r="C107" s="834"/>
      <c r="D107" s="834"/>
      <c r="E107" s="834"/>
      <c r="F107" s="848">
        <v>2280</v>
      </c>
    </row>
    <row r="108" spans="1:6" s="828" customFormat="1" ht="14.25" customHeight="1" thickBot="1">
      <c r="A108" s="840" t="s">
        <v>522</v>
      </c>
      <c r="B108" s="834" t="s">
        <v>467</v>
      </c>
      <c r="C108" s="834"/>
      <c r="D108" s="834"/>
      <c r="E108" s="834"/>
      <c r="F108" s="848">
        <v>2280</v>
      </c>
    </row>
    <row r="109" spans="1:6" s="828" customFormat="1" ht="14.25" customHeight="1" thickBot="1">
      <c r="A109" s="840" t="s">
        <v>522</v>
      </c>
      <c r="B109" s="846" t="s">
        <v>472</v>
      </c>
      <c r="C109" s="846"/>
      <c r="D109" s="846"/>
      <c r="E109" s="846"/>
      <c r="F109" s="851">
        <v>2280</v>
      </c>
    </row>
    <row r="110" spans="1:6" s="828" customFormat="1" ht="14.25" customHeight="1" thickBot="1">
      <c r="A110" s="840" t="s">
        <v>55</v>
      </c>
      <c r="B110" s="841" t="s">
        <v>524</v>
      </c>
      <c r="C110" s="841">
        <v>10520</v>
      </c>
      <c r="D110" s="841">
        <v>10490</v>
      </c>
      <c r="E110" s="841">
        <v>10760</v>
      </c>
      <c r="F110" s="842">
        <v>2160</v>
      </c>
    </row>
    <row r="111" spans="1:6" s="828" customFormat="1" ht="14.25" customHeight="1" thickBot="1">
      <c r="A111" s="840" t="s">
        <v>55</v>
      </c>
      <c r="B111" s="834" t="s">
        <v>191</v>
      </c>
      <c r="C111" s="834">
        <v>10090</v>
      </c>
      <c r="D111" s="834">
        <v>10060</v>
      </c>
      <c r="E111" s="834">
        <v>10300</v>
      </c>
      <c r="F111" s="848">
        <v>2010</v>
      </c>
    </row>
    <row r="112" spans="1:6" s="828" customFormat="1" ht="14.25" customHeight="1" thickBot="1">
      <c r="A112" s="840" t="s">
        <v>55</v>
      </c>
      <c r="B112" s="834" t="s">
        <v>204</v>
      </c>
      <c r="C112" s="834">
        <v>9910</v>
      </c>
      <c r="D112" s="834">
        <v>9850</v>
      </c>
      <c r="E112" s="834">
        <v>9960</v>
      </c>
      <c r="F112" s="848">
        <v>2090</v>
      </c>
    </row>
    <row r="113" spans="1:6" s="828" customFormat="1" ht="14.25" customHeight="1" thickBot="1">
      <c r="A113" s="840" t="s">
        <v>55</v>
      </c>
      <c r="B113" s="834" t="s">
        <v>217</v>
      </c>
      <c r="C113" s="834">
        <v>11430</v>
      </c>
      <c r="D113" s="834">
        <v>11400</v>
      </c>
      <c r="E113" s="834">
        <v>11710</v>
      </c>
      <c r="F113" s="848">
        <v>2050</v>
      </c>
    </row>
    <row r="114" spans="1:6" s="828" customFormat="1" ht="14.25" customHeight="1" thickBot="1">
      <c r="A114" s="840" t="s">
        <v>55</v>
      </c>
      <c r="B114" s="834" t="s">
        <v>229</v>
      </c>
      <c r="C114" s="834">
        <v>11390</v>
      </c>
      <c r="D114" s="834">
        <v>11350</v>
      </c>
      <c r="E114" s="834">
        <v>11640</v>
      </c>
      <c r="F114" s="848">
        <v>1620</v>
      </c>
    </row>
    <row r="115" spans="1:6" s="828" customFormat="1" ht="14.25" customHeight="1" thickBot="1">
      <c r="A115" s="840" t="s">
        <v>55</v>
      </c>
      <c r="B115" s="834" t="s">
        <v>240</v>
      </c>
      <c r="C115" s="834">
        <v>9930</v>
      </c>
      <c r="D115" s="834">
        <v>9900</v>
      </c>
      <c r="E115" s="834">
        <v>10160</v>
      </c>
      <c r="F115" s="848">
        <v>1580</v>
      </c>
    </row>
    <row r="116" spans="1:6" s="828" customFormat="1" ht="14.25" customHeight="1" thickBot="1">
      <c r="A116" s="840" t="s">
        <v>55</v>
      </c>
      <c r="B116" s="834" t="s">
        <v>251</v>
      </c>
      <c r="C116" s="834">
        <v>9150</v>
      </c>
      <c r="D116" s="834">
        <v>9120</v>
      </c>
      <c r="E116" s="834">
        <v>9380</v>
      </c>
      <c r="F116" s="848">
        <v>1750</v>
      </c>
    </row>
    <row r="117" spans="1:6" s="828" customFormat="1" ht="14.25" customHeight="1" thickBot="1">
      <c r="A117" s="840" t="s">
        <v>55</v>
      </c>
      <c r="B117" s="834" t="s">
        <v>262</v>
      </c>
      <c r="C117" s="834">
        <v>10680</v>
      </c>
      <c r="D117" s="834">
        <v>10650</v>
      </c>
      <c r="E117" s="834">
        <v>10970</v>
      </c>
      <c r="F117" s="848">
        <v>1730</v>
      </c>
    </row>
    <row r="118" spans="1:6" s="828" customFormat="1" ht="14.25" customHeight="1" thickBot="1">
      <c r="A118" s="840" t="s">
        <v>55</v>
      </c>
      <c r="B118" s="834" t="s">
        <v>274</v>
      </c>
      <c r="C118" s="834">
        <v>10080</v>
      </c>
      <c r="D118" s="834">
        <v>10050</v>
      </c>
      <c r="E118" s="834">
        <v>10350</v>
      </c>
      <c r="F118" s="848">
        <v>1920</v>
      </c>
    </row>
    <row r="119" spans="1:6" s="828" customFormat="1" ht="14.25" customHeight="1" thickBot="1">
      <c r="A119" s="840" t="s">
        <v>55</v>
      </c>
      <c r="B119" s="834" t="s">
        <v>284</v>
      </c>
      <c r="C119" s="834">
        <v>9450</v>
      </c>
      <c r="D119" s="834">
        <v>9410</v>
      </c>
      <c r="E119" s="834">
        <v>9680</v>
      </c>
      <c r="F119" s="848">
        <v>1880</v>
      </c>
    </row>
    <row r="120" spans="1:6" s="828" customFormat="1" ht="14.25" customHeight="1" thickBot="1">
      <c r="A120" s="840" t="s">
        <v>55</v>
      </c>
      <c r="B120" s="834" t="s">
        <v>294</v>
      </c>
      <c r="C120" s="834">
        <v>8730</v>
      </c>
      <c r="D120" s="834">
        <v>8700</v>
      </c>
      <c r="E120" s="834">
        <v>8950</v>
      </c>
      <c r="F120" s="848">
        <v>1830</v>
      </c>
    </row>
    <row r="121" spans="1:6" s="828" customFormat="1" ht="14.25" customHeight="1" thickBot="1">
      <c r="A121" s="840" t="s">
        <v>55</v>
      </c>
      <c r="B121" s="834" t="s">
        <v>304</v>
      </c>
      <c r="C121" s="834">
        <v>10070</v>
      </c>
      <c r="D121" s="834">
        <v>10040</v>
      </c>
      <c r="E121" s="834">
        <v>10270</v>
      </c>
      <c r="F121" s="848">
        <v>1960</v>
      </c>
    </row>
    <row r="122" spans="1:6" s="828" customFormat="1" ht="14.25" customHeight="1" thickBot="1">
      <c r="A122" s="840" t="s">
        <v>55</v>
      </c>
      <c r="B122" s="834" t="s">
        <v>314</v>
      </c>
      <c r="C122" s="834">
        <v>10500</v>
      </c>
      <c r="D122" s="834">
        <v>10470</v>
      </c>
      <c r="E122" s="834">
        <v>10780</v>
      </c>
      <c r="F122" s="848">
        <v>2180</v>
      </c>
    </row>
    <row r="123" spans="1:6" s="828" customFormat="1" ht="14.25" customHeight="1" thickBot="1">
      <c r="A123" s="840" t="s">
        <v>55</v>
      </c>
      <c r="B123" s="834" t="s">
        <v>325</v>
      </c>
      <c r="C123" s="834">
        <v>10390</v>
      </c>
      <c r="D123" s="834">
        <v>10360</v>
      </c>
      <c r="E123" s="834">
        <v>10660</v>
      </c>
      <c r="F123" s="848">
        <v>2040</v>
      </c>
    </row>
    <row r="124" spans="1:6" s="828" customFormat="1" ht="14.25" customHeight="1" thickBot="1">
      <c r="A124" s="840" t="s">
        <v>55</v>
      </c>
      <c r="B124" s="834" t="s">
        <v>336</v>
      </c>
      <c r="C124" s="834">
        <v>10390</v>
      </c>
      <c r="D124" s="834">
        <v>10360</v>
      </c>
      <c r="E124" s="834">
        <v>10680</v>
      </c>
      <c r="F124" s="852"/>
    </row>
    <row r="125" spans="1:6" s="828" customFormat="1" ht="14.25" customHeight="1" thickBot="1">
      <c r="A125" s="840" t="s">
        <v>55</v>
      </c>
      <c r="B125" s="834" t="s">
        <v>346</v>
      </c>
      <c r="C125" s="834">
        <v>10440</v>
      </c>
      <c r="D125" s="834">
        <v>10410</v>
      </c>
      <c r="E125" s="834">
        <v>10710</v>
      </c>
      <c r="F125" s="852"/>
    </row>
    <row r="126" spans="1:6" s="828" customFormat="1" ht="14.25" customHeight="1" thickBot="1">
      <c r="A126" s="840" t="s">
        <v>55</v>
      </c>
      <c r="B126" s="834" t="s">
        <v>356</v>
      </c>
      <c r="C126" s="834">
        <v>10780</v>
      </c>
      <c r="D126" s="834">
        <v>10750</v>
      </c>
      <c r="E126" s="834">
        <v>11080</v>
      </c>
      <c r="F126" s="852"/>
    </row>
    <row r="127" spans="1:6" s="828" customFormat="1" ht="14.25" customHeight="1" thickBot="1">
      <c r="A127" s="840" t="s">
        <v>55</v>
      </c>
      <c r="B127" s="834" t="s">
        <v>366</v>
      </c>
      <c r="C127" s="834">
        <v>10100</v>
      </c>
      <c r="D127" s="834">
        <v>10070</v>
      </c>
      <c r="E127" s="834">
        <v>10350</v>
      </c>
      <c r="F127" s="852"/>
    </row>
    <row r="128" spans="1:6" s="828" customFormat="1" ht="14.25" customHeight="1" thickBot="1">
      <c r="A128" s="840" t="s">
        <v>55</v>
      </c>
      <c r="B128" s="834" t="s">
        <v>376</v>
      </c>
      <c r="C128" s="834">
        <v>9200</v>
      </c>
      <c r="D128" s="834">
        <v>9160</v>
      </c>
      <c r="E128" s="834">
        <v>9660</v>
      </c>
      <c r="F128" s="852"/>
    </row>
    <row r="129" spans="1:6" s="828" customFormat="1" ht="14.25" customHeight="1" thickBot="1">
      <c r="A129" s="840" t="s">
        <v>55</v>
      </c>
      <c r="B129" s="834" t="s">
        <v>385</v>
      </c>
      <c r="C129" s="834">
        <v>10340</v>
      </c>
      <c r="D129" s="834">
        <v>10310</v>
      </c>
      <c r="E129" s="834">
        <v>10580</v>
      </c>
      <c r="F129" s="852"/>
    </row>
    <row r="130" spans="1:6" s="828" customFormat="1" ht="14.25" customHeight="1" thickBot="1">
      <c r="A130" s="840" t="s">
        <v>55</v>
      </c>
      <c r="B130" s="834" t="s">
        <v>394</v>
      </c>
      <c r="C130" s="834">
        <v>9680</v>
      </c>
      <c r="D130" s="834">
        <v>9660</v>
      </c>
      <c r="E130" s="834">
        <v>9950</v>
      </c>
      <c r="F130" s="852"/>
    </row>
    <row r="131" spans="1:6" s="828" customFormat="1" ht="14.25" customHeight="1" thickBot="1">
      <c r="A131" s="840" t="s">
        <v>55</v>
      </c>
      <c r="B131" s="834" t="s">
        <v>402</v>
      </c>
      <c r="C131" s="834">
        <v>9540</v>
      </c>
      <c r="D131" s="834">
        <v>9510</v>
      </c>
      <c r="E131" s="834">
        <v>9790</v>
      </c>
      <c r="F131" s="852"/>
    </row>
    <row r="132" spans="1:6" s="828" customFormat="1" ht="14.25" customHeight="1" thickBot="1">
      <c r="A132" s="840" t="s">
        <v>55</v>
      </c>
      <c r="B132" s="834" t="s">
        <v>409</v>
      </c>
      <c r="C132" s="834">
        <v>9320</v>
      </c>
      <c r="D132" s="834">
        <v>9290</v>
      </c>
      <c r="E132" s="834">
        <v>9570</v>
      </c>
      <c r="F132" s="852"/>
    </row>
    <row r="133" spans="1:6" s="828" customFormat="1" ht="14.25" customHeight="1" thickBot="1">
      <c r="A133" s="840" t="s">
        <v>55</v>
      </c>
      <c r="B133" s="834" t="s">
        <v>416</v>
      </c>
      <c r="C133" s="834">
        <v>10310</v>
      </c>
      <c r="D133" s="834">
        <v>10280</v>
      </c>
      <c r="E133" s="834">
        <v>10530</v>
      </c>
      <c r="F133" s="852"/>
    </row>
    <row r="134" spans="1:6" s="828" customFormat="1" ht="14.25" customHeight="1" thickBot="1">
      <c r="A134" s="840" t="s">
        <v>55</v>
      </c>
      <c r="B134" s="834" t="s">
        <v>423</v>
      </c>
      <c r="C134" s="834">
        <v>10370</v>
      </c>
      <c r="D134" s="834">
        <v>10310</v>
      </c>
      <c r="E134" s="834">
        <v>10240</v>
      </c>
      <c r="F134" s="848">
        <v>2060</v>
      </c>
    </row>
    <row r="135" spans="1:6" s="828" customFormat="1" ht="14.25" customHeight="1" thickBot="1">
      <c r="A135" s="840" t="s">
        <v>55</v>
      </c>
      <c r="B135" s="834" t="s">
        <v>430</v>
      </c>
      <c r="C135" s="834">
        <v>9300</v>
      </c>
      <c r="D135" s="834">
        <v>9270</v>
      </c>
      <c r="E135" s="834">
        <v>9350</v>
      </c>
      <c r="F135" s="852"/>
    </row>
    <row r="136" spans="1:6" s="828" customFormat="1" ht="14.25" customHeight="1" thickBot="1">
      <c r="A136" s="840" t="s">
        <v>55</v>
      </c>
      <c r="B136" s="834" t="s">
        <v>437</v>
      </c>
      <c r="C136" s="834">
        <v>10160</v>
      </c>
      <c r="D136" s="834">
        <v>10110</v>
      </c>
      <c r="E136" s="834">
        <v>10080</v>
      </c>
      <c r="F136" s="852"/>
    </row>
    <row r="137" spans="1:6" s="828" customFormat="1" ht="14.25" customHeight="1" thickBot="1">
      <c r="A137" s="840" t="s">
        <v>55</v>
      </c>
      <c r="B137" s="834" t="s">
        <v>444</v>
      </c>
      <c r="C137" s="834">
        <v>9200</v>
      </c>
      <c r="D137" s="834">
        <v>9170</v>
      </c>
      <c r="E137" s="834">
        <v>9450</v>
      </c>
      <c r="F137" s="852"/>
    </row>
    <row r="138" spans="1:6" s="828" customFormat="1" ht="14.25" customHeight="1" thickBot="1">
      <c r="A138" s="840" t="s">
        <v>55</v>
      </c>
      <c r="B138" s="834" t="s">
        <v>449</v>
      </c>
      <c r="C138" s="834">
        <v>9690</v>
      </c>
      <c r="D138" s="834">
        <v>9660</v>
      </c>
      <c r="E138" s="834">
        <v>9840</v>
      </c>
      <c r="F138" s="852"/>
    </row>
    <row r="139" spans="1:6" s="828" customFormat="1" ht="14.25" customHeight="1" thickBot="1">
      <c r="A139" s="840" t="s">
        <v>55</v>
      </c>
      <c r="B139" s="834" t="s">
        <v>453</v>
      </c>
      <c r="C139" s="834">
        <v>10290</v>
      </c>
      <c r="D139" s="834">
        <v>10260</v>
      </c>
      <c r="E139" s="834">
        <v>10550</v>
      </c>
      <c r="F139" s="848">
        <v>1700</v>
      </c>
    </row>
    <row r="140" spans="1:6" s="828" customFormat="1" ht="14.25" customHeight="1" thickBot="1">
      <c r="A140" s="840" t="s">
        <v>55</v>
      </c>
      <c r="B140" s="834" t="s">
        <v>458</v>
      </c>
      <c r="C140" s="834">
        <v>9740</v>
      </c>
      <c r="D140" s="834">
        <v>9710</v>
      </c>
      <c r="E140" s="834">
        <v>10000</v>
      </c>
      <c r="F140" s="848">
        <v>2000</v>
      </c>
    </row>
    <row r="141" spans="1:6" s="828" customFormat="1" ht="14.25" customHeight="1" thickBot="1">
      <c r="A141" s="840" t="s">
        <v>55</v>
      </c>
      <c r="B141" s="834" t="s">
        <v>463</v>
      </c>
      <c r="C141" s="834">
        <v>9810</v>
      </c>
      <c r="D141" s="834">
        <v>9770</v>
      </c>
      <c r="E141" s="834">
        <v>10060</v>
      </c>
      <c r="F141" s="852"/>
    </row>
    <row r="142" spans="1:6" s="828" customFormat="1" ht="14.25" customHeight="1" thickBot="1">
      <c r="A142" s="840" t="s">
        <v>55</v>
      </c>
      <c r="B142" s="834" t="s">
        <v>468</v>
      </c>
      <c r="C142" s="834">
        <v>9300</v>
      </c>
      <c r="D142" s="834">
        <v>9270</v>
      </c>
      <c r="E142" s="834">
        <v>9530</v>
      </c>
      <c r="F142" s="852"/>
    </row>
    <row r="143" spans="1:6" s="828" customFormat="1" ht="14.25" customHeight="1" thickBot="1">
      <c r="A143" s="840" t="s">
        <v>55</v>
      </c>
      <c r="B143" s="834" t="s">
        <v>473</v>
      </c>
      <c r="C143" s="834">
        <v>10080</v>
      </c>
      <c r="D143" s="834">
        <v>10050</v>
      </c>
      <c r="E143" s="834">
        <v>10340</v>
      </c>
      <c r="F143" s="852"/>
    </row>
    <row r="144" spans="1:6" s="828" customFormat="1" ht="14.25" customHeight="1" thickBot="1">
      <c r="A144" s="840" t="s">
        <v>55</v>
      </c>
      <c r="B144" s="834" t="s">
        <v>477</v>
      </c>
      <c r="C144" s="834">
        <v>9820</v>
      </c>
      <c r="D144" s="834">
        <v>9750</v>
      </c>
      <c r="E144" s="834">
        <v>9900</v>
      </c>
      <c r="F144" s="852"/>
    </row>
    <row r="145" spans="1:6" s="828" customFormat="1" ht="14.25" customHeight="1" thickBot="1">
      <c r="A145" s="840" t="s">
        <v>55</v>
      </c>
      <c r="B145" s="834" t="s">
        <v>481</v>
      </c>
      <c r="C145" s="834"/>
      <c r="D145" s="834"/>
      <c r="E145" s="834"/>
      <c r="F145" s="848">
        <v>1740</v>
      </c>
    </row>
    <row r="146" spans="1:6" s="828" customFormat="1" ht="14.25" customHeight="1" thickBot="1">
      <c r="A146" s="840" t="s">
        <v>55</v>
      </c>
      <c r="B146" s="834" t="s">
        <v>485</v>
      </c>
      <c r="C146" s="834"/>
      <c r="D146" s="834"/>
      <c r="E146" s="834"/>
      <c r="F146" s="848">
        <v>1740</v>
      </c>
    </row>
    <row r="147" spans="1:6" s="828" customFormat="1" ht="14.25" customHeight="1" thickBot="1">
      <c r="A147" s="840" t="s">
        <v>55</v>
      </c>
      <c r="B147" s="834" t="s">
        <v>489</v>
      </c>
      <c r="C147" s="834"/>
      <c r="D147" s="834"/>
      <c r="E147" s="834"/>
      <c r="F147" s="848">
        <v>1740</v>
      </c>
    </row>
    <row r="148" spans="1:6" s="828" customFormat="1" ht="14.25" customHeight="1" thickBot="1">
      <c r="A148" s="840" t="s">
        <v>55</v>
      </c>
      <c r="B148" s="834" t="s">
        <v>493</v>
      </c>
      <c r="C148" s="834"/>
      <c r="D148" s="834"/>
      <c r="E148" s="834"/>
      <c r="F148" s="848">
        <v>1740</v>
      </c>
    </row>
    <row r="149" spans="1:6" s="828" customFormat="1" ht="14.25" customHeight="1" thickBot="1">
      <c r="A149" s="840" t="s">
        <v>55</v>
      </c>
      <c r="B149" s="834" t="s">
        <v>497</v>
      </c>
      <c r="C149" s="834"/>
      <c r="D149" s="834"/>
      <c r="E149" s="834"/>
      <c r="F149" s="848">
        <v>1740</v>
      </c>
    </row>
    <row r="150" spans="1:6" s="828" customFormat="1" ht="14.25" customHeight="1" thickBot="1">
      <c r="A150" s="840" t="s">
        <v>55</v>
      </c>
      <c r="B150" s="834" t="s">
        <v>500</v>
      </c>
      <c r="C150" s="834"/>
      <c r="D150" s="834"/>
      <c r="E150" s="834"/>
      <c r="F150" s="848">
        <v>1610</v>
      </c>
    </row>
    <row r="151" spans="1:6" s="828" customFormat="1" ht="14.25" customHeight="1" thickBot="1">
      <c r="A151" s="840" t="s">
        <v>55</v>
      </c>
      <c r="B151" s="834" t="s">
        <v>503</v>
      </c>
      <c r="C151" s="834"/>
      <c r="D151" s="834"/>
      <c r="E151" s="834"/>
      <c r="F151" s="848">
        <v>1610</v>
      </c>
    </row>
    <row r="152" spans="1:6" s="828" customFormat="1" ht="14.25" customHeight="1" thickBot="1">
      <c r="A152" s="840" t="s">
        <v>55</v>
      </c>
      <c r="B152" s="834" t="s">
        <v>506</v>
      </c>
      <c r="C152" s="834"/>
      <c r="D152" s="834"/>
      <c r="E152" s="834"/>
      <c r="F152" s="848">
        <v>1610</v>
      </c>
    </row>
    <row r="153" spans="1:6" s="828" customFormat="1" ht="14.25" customHeight="1" thickBot="1">
      <c r="A153" s="840" t="s">
        <v>55</v>
      </c>
      <c r="B153" s="834" t="s">
        <v>509</v>
      </c>
      <c r="C153" s="834"/>
      <c r="D153" s="834"/>
      <c r="E153" s="834"/>
      <c r="F153" s="848">
        <v>1610</v>
      </c>
    </row>
    <row r="154" spans="1:6" s="828" customFormat="1" ht="14.25" customHeight="1" thickBot="1">
      <c r="A154" s="840" t="s">
        <v>55</v>
      </c>
      <c r="B154" s="834" t="s">
        <v>512</v>
      </c>
      <c r="C154" s="834"/>
      <c r="D154" s="834"/>
      <c r="E154" s="834"/>
      <c r="F154" s="848">
        <v>1610</v>
      </c>
    </row>
    <row r="155" spans="1:6" s="828" customFormat="1" ht="14.25" customHeight="1" thickBot="1">
      <c r="A155" s="840" t="s">
        <v>55</v>
      </c>
      <c r="B155" s="834" t="s">
        <v>515</v>
      </c>
      <c r="C155" s="834"/>
      <c r="D155" s="834"/>
      <c r="E155" s="834"/>
      <c r="F155" s="848">
        <v>1800</v>
      </c>
    </row>
    <row r="156" spans="1:6" s="828" customFormat="1" ht="14.25" customHeight="1" thickBot="1">
      <c r="A156" s="840" t="s">
        <v>55</v>
      </c>
      <c r="B156" s="834" t="s">
        <v>517</v>
      </c>
      <c r="C156" s="834"/>
      <c r="D156" s="834"/>
      <c r="E156" s="834"/>
      <c r="F156" s="848">
        <v>1910</v>
      </c>
    </row>
    <row r="157" spans="1:6" s="828" customFormat="1" ht="14.25" customHeight="1" thickBot="1">
      <c r="A157" s="840" t="s">
        <v>55</v>
      </c>
      <c r="B157" s="846" t="s">
        <v>520</v>
      </c>
      <c r="C157" s="846"/>
      <c r="D157" s="846"/>
      <c r="E157" s="846"/>
      <c r="F157" s="851">
        <v>1500</v>
      </c>
    </row>
    <row r="158" spans="1:6" s="828" customFormat="1" ht="14.25" customHeight="1" thickBot="1">
      <c r="A158" s="840" t="s">
        <v>525</v>
      </c>
      <c r="B158" s="841" t="s">
        <v>526</v>
      </c>
      <c r="C158" s="841">
        <v>8170</v>
      </c>
      <c r="D158" s="841">
        <v>8140</v>
      </c>
      <c r="E158" s="841">
        <v>8590</v>
      </c>
      <c r="F158" s="842">
        <v>1450</v>
      </c>
    </row>
    <row r="159" spans="1:6" s="828" customFormat="1" ht="14.25" customHeight="1" thickBot="1">
      <c r="A159" s="840" t="s">
        <v>525</v>
      </c>
      <c r="B159" s="834" t="s">
        <v>192</v>
      </c>
      <c r="C159" s="834">
        <v>7410</v>
      </c>
      <c r="D159" s="834">
        <v>7370</v>
      </c>
      <c r="E159" s="834">
        <v>8030</v>
      </c>
      <c r="F159" s="848">
        <v>1510</v>
      </c>
    </row>
    <row r="160" spans="1:6" s="828" customFormat="1" ht="14.25" customHeight="1" thickBot="1">
      <c r="A160" s="840" t="s">
        <v>525</v>
      </c>
      <c r="B160" s="834" t="s">
        <v>205</v>
      </c>
      <c r="C160" s="834">
        <v>7240</v>
      </c>
      <c r="D160" s="834">
        <v>7210</v>
      </c>
      <c r="E160" s="834">
        <v>7860</v>
      </c>
      <c r="F160" s="848">
        <v>1370</v>
      </c>
    </row>
    <row r="161" spans="1:6" s="828" customFormat="1" ht="14.25" customHeight="1" thickBot="1">
      <c r="A161" s="840" t="s">
        <v>525</v>
      </c>
      <c r="B161" s="834" t="s">
        <v>218</v>
      </c>
      <c r="C161" s="834">
        <v>7720</v>
      </c>
      <c r="D161" s="834">
        <v>7690</v>
      </c>
      <c r="E161" s="834">
        <v>8200</v>
      </c>
      <c r="F161" s="848">
        <v>1190</v>
      </c>
    </row>
    <row r="162" spans="1:6" s="828" customFormat="1" ht="14.25" customHeight="1" thickBot="1">
      <c r="A162" s="840" t="s">
        <v>525</v>
      </c>
      <c r="B162" s="834" t="s">
        <v>230</v>
      </c>
      <c r="C162" s="834">
        <v>6900</v>
      </c>
      <c r="D162" s="834">
        <v>6870</v>
      </c>
      <c r="E162" s="834">
        <v>7500</v>
      </c>
      <c r="F162" s="848">
        <v>1390</v>
      </c>
    </row>
    <row r="163" spans="1:6" s="828" customFormat="1" ht="14.25" customHeight="1" thickBot="1">
      <c r="A163" s="840" t="s">
        <v>525</v>
      </c>
      <c r="B163" s="834" t="s">
        <v>241</v>
      </c>
      <c r="C163" s="834">
        <v>7120</v>
      </c>
      <c r="D163" s="834">
        <v>7090</v>
      </c>
      <c r="E163" s="834">
        <v>7690</v>
      </c>
      <c r="F163" s="848">
        <v>1230</v>
      </c>
    </row>
    <row r="164" spans="1:6" s="828" customFormat="1" ht="14.25" customHeight="1" thickBot="1">
      <c r="A164" s="840" t="s">
        <v>525</v>
      </c>
      <c r="B164" s="834" t="s">
        <v>252</v>
      </c>
      <c r="C164" s="834">
        <v>6560</v>
      </c>
      <c r="D164" s="834">
        <v>6530</v>
      </c>
      <c r="E164" s="834">
        <v>7110</v>
      </c>
      <c r="F164" s="848">
        <v>1340</v>
      </c>
    </row>
    <row r="165" spans="1:6" s="828" customFormat="1" ht="14.25" customHeight="1" thickBot="1">
      <c r="A165" s="840" t="s">
        <v>525</v>
      </c>
      <c r="B165" s="834" t="s">
        <v>263</v>
      </c>
      <c r="C165" s="834">
        <v>7450</v>
      </c>
      <c r="D165" s="834">
        <v>7430</v>
      </c>
      <c r="E165" s="834">
        <v>8110</v>
      </c>
      <c r="F165" s="848">
        <v>1290</v>
      </c>
    </row>
    <row r="166" spans="1:6" s="828" customFormat="1" ht="14.25" customHeight="1" thickBot="1">
      <c r="A166" s="840" t="s">
        <v>525</v>
      </c>
      <c r="B166" s="834" t="s">
        <v>275</v>
      </c>
      <c r="C166" s="834">
        <v>7490</v>
      </c>
      <c r="D166" s="834">
        <v>7460</v>
      </c>
      <c r="E166" s="834">
        <v>8150</v>
      </c>
      <c r="F166" s="848">
        <v>1350</v>
      </c>
    </row>
    <row r="167" spans="1:6" s="828" customFormat="1" ht="14.25" customHeight="1" thickBot="1">
      <c r="A167" s="840" t="s">
        <v>525</v>
      </c>
      <c r="B167" s="834" t="s">
        <v>285</v>
      </c>
      <c r="C167" s="834">
        <v>7540</v>
      </c>
      <c r="D167" s="834">
        <v>7510</v>
      </c>
      <c r="E167" s="834">
        <v>8030</v>
      </c>
      <c r="F167" s="852"/>
    </row>
    <row r="168" spans="1:6" s="828" customFormat="1" ht="14.25" customHeight="1" thickBot="1">
      <c r="A168" s="840" t="s">
        <v>525</v>
      </c>
      <c r="B168" s="834" t="s">
        <v>295</v>
      </c>
      <c r="C168" s="834">
        <v>7210</v>
      </c>
      <c r="D168" s="834">
        <v>7180</v>
      </c>
      <c r="E168" s="834">
        <v>7830</v>
      </c>
      <c r="F168" s="852"/>
    </row>
    <row r="169" spans="1:6" s="828" customFormat="1" ht="14.25" customHeight="1" thickBot="1">
      <c r="A169" s="840" t="s">
        <v>525</v>
      </c>
      <c r="B169" s="834" t="s">
        <v>305</v>
      </c>
      <c r="C169" s="834">
        <v>7040</v>
      </c>
      <c r="D169" s="834">
        <v>7020</v>
      </c>
      <c r="E169" s="834">
        <v>7670</v>
      </c>
      <c r="F169" s="852"/>
    </row>
    <row r="170" spans="1:6" s="828" customFormat="1" ht="14.25" customHeight="1" thickBot="1">
      <c r="A170" s="840" t="s">
        <v>525</v>
      </c>
      <c r="B170" s="834" t="s">
        <v>315</v>
      </c>
      <c r="C170" s="834">
        <v>8040</v>
      </c>
      <c r="D170" s="834">
        <v>7190</v>
      </c>
      <c r="E170" s="834">
        <v>7850</v>
      </c>
      <c r="F170" s="852"/>
    </row>
    <row r="171" spans="1:6" s="828" customFormat="1" ht="14.25" customHeight="1" thickBot="1">
      <c r="A171" s="840" t="s">
        <v>525</v>
      </c>
      <c r="B171" s="834" t="s">
        <v>326</v>
      </c>
      <c r="C171" s="834">
        <v>7860</v>
      </c>
      <c r="D171" s="834">
        <v>7720</v>
      </c>
      <c r="E171" s="834">
        <v>8150</v>
      </c>
      <c r="F171" s="848">
        <v>1110</v>
      </c>
    </row>
    <row r="172" spans="1:6" s="828" customFormat="1" ht="14.25" customHeight="1" thickBot="1">
      <c r="A172" s="840" t="s">
        <v>525</v>
      </c>
      <c r="B172" s="834" t="s">
        <v>337</v>
      </c>
      <c r="C172" s="834">
        <v>7210</v>
      </c>
      <c r="D172" s="834">
        <v>7170</v>
      </c>
      <c r="E172" s="834">
        <v>7320</v>
      </c>
      <c r="F172" s="852"/>
    </row>
    <row r="173" spans="1:6" s="828" customFormat="1" ht="14.25" customHeight="1" thickBot="1">
      <c r="A173" s="840" t="s">
        <v>525</v>
      </c>
      <c r="B173" s="834" t="s">
        <v>347</v>
      </c>
      <c r="C173" s="834">
        <v>6860</v>
      </c>
      <c r="D173" s="834">
        <v>6810</v>
      </c>
      <c r="E173" s="834">
        <v>7440</v>
      </c>
      <c r="F173" s="852"/>
    </row>
    <row r="174" spans="1:6" s="828" customFormat="1" ht="14.25" customHeight="1" thickBot="1">
      <c r="A174" s="840" t="s">
        <v>525</v>
      </c>
      <c r="B174" s="834" t="s">
        <v>357</v>
      </c>
      <c r="C174" s="834">
        <v>7120</v>
      </c>
      <c r="D174" s="834">
        <v>7090</v>
      </c>
      <c r="E174" s="834">
        <v>7500</v>
      </c>
      <c r="F174" s="848">
        <v>1490</v>
      </c>
    </row>
    <row r="175" spans="1:6" s="828" customFormat="1" ht="14.25" customHeight="1" thickBot="1">
      <c r="A175" s="840" t="s">
        <v>525</v>
      </c>
      <c r="B175" s="834" t="s">
        <v>367</v>
      </c>
      <c r="C175" s="834">
        <v>7850</v>
      </c>
      <c r="D175" s="834">
        <v>7820</v>
      </c>
      <c r="E175" s="834">
        <v>8120</v>
      </c>
      <c r="F175" s="848">
        <v>1530</v>
      </c>
    </row>
    <row r="176" spans="1:6" s="828" customFormat="1" ht="14.25" customHeight="1" thickBot="1">
      <c r="A176" s="840" t="s">
        <v>525</v>
      </c>
      <c r="B176" s="834" t="s">
        <v>377</v>
      </c>
      <c r="C176" s="834">
        <v>7620</v>
      </c>
      <c r="D176" s="834">
        <v>7570</v>
      </c>
      <c r="E176" s="834">
        <v>7990</v>
      </c>
      <c r="F176" s="848">
        <v>1480</v>
      </c>
    </row>
    <row r="177" spans="1:6" s="828" customFormat="1" ht="14.25" customHeight="1" thickBot="1">
      <c r="A177" s="840" t="s">
        <v>525</v>
      </c>
      <c r="B177" s="834" t="s">
        <v>386</v>
      </c>
      <c r="C177" s="834">
        <v>8590</v>
      </c>
      <c r="D177" s="834">
        <v>8570</v>
      </c>
      <c r="E177" s="834">
        <v>8740</v>
      </c>
      <c r="F177" s="848">
        <v>1540</v>
      </c>
    </row>
    <row r="178" spans="1:6" s="828" customFormat="1" ht="14.25" customHeight="1" thickBot="1">
      <c r="A178" s="840" t="s">
        <v>525</v>
      </c>
      <c r="B178" s="834" t="s">
        <v>395</v>
      </c>
      <c r="C178" s="834">
        <v>7510</v>
      </c>
      <c r="D178" s="834">
        <v>7470</v>
      </c>
      <c r="E178" s="834">
        <v>8090</v>
      </c>
      <c r="F178" s="848">
        <v>1320</v>
      </c>
    </row>
    <row r="179" spans="1:6" s="828" customFormat="1" ht="14.25" customHeight="1" thickBot="1">
      <c r="A179" s="840" t="s">
        <v>525</v>
      </c>
      <c r="B179" s="834" t="s">
        <v>403</v>
      </c>
      <c r="C179" s="834">
        <v>6380</v>
      </c>
      <c r="D179" s="834">
        <v>6340</v>
      </c>
      <c r="E179" s="834">
        <v>6810</v>
      </c>
      <c r="F179" s="852"/>
    </row>
    <row r="180" spans="1:6" s="828" customFormat="1" ht="14.25" customHeight="1" thickBot="1">
      <c r="A180" s="840" t="s">
        <v>525</v>
      </c>
      <c r="B180" s="834" t="s">
        <v>410</v>
      </c>
      <c r="C180" s="834">
        <v>7830</v>
      </c>
      <c r="D180" s="834">
        <v>7800</v>
      </c>
      <c r="E180" s="834">
        <v>7780</v>
      </c>
      <c r="F180" s="848">
        <v>1440</v>
      </c>
    </row>
    <row r="181" spans="1:6" s="828" customFormat="1" ht="14.25" customHeight="1" thickBot="1">
      <c r="A181" s="840" t="s">
        <v>525</v>
      </c>
      <c r="B181" s="834" t="s">
        <v>417</v>
      </c>
      <c r="C181" s="834">
        <v>7110</v>
      </c>
      <c r="D181" s="834">
        <v>7080</v>
      </c>
      <c r="E181" s="834">
        <v>7730</v>
      </c>
      <c r="F181" s="848">
        <v>1350</v>
      </c>
    </row>
    <row r="182" spans="1:6" s="828" customFormat="1" ht="14.25" customHeight="1" thickBot="1">
      <c r="A182" s="840" t="s">
        <v>525</v>
      </c>
      <c r="B182" s="834" t="s">
        <v>424</v>
      </c>
      <c r="C182" s="834">
        <v>7310</v>
      </c>
      <c r="D182" s="834">
        <v>7280</v>
      </c>
      <c r="E182" s="834">
        <v>7950</v>
      </c>
      <c r="F182" s="848">
        <v>1220</v>
      </c>
    </row>
    <row r="183" spans="1:6" s="828" customFormat="1" ht="14.25" customHeight="1" thickBot="1">
      <c r="A183" s="840" t="s">
        <v>525</v>
      </c>
      <c r="B183" s="834" t="s">
        <v>431</v>
      </c>
      <c r="C183" s="834">
        <v>7470</v>
      </c>
      <c r="D183" s="834">
        <v>7440</v>
      </c>
      <c r="E183" s="834">
        <v>7880</v>
      </c>
      <c r="F183" s="852"/>
    </row>
    <row r="184" spans="1:6" s="828" customFormat="1" ht="14.25" customHeight="1" thickBot="1">
      <c r="A184" s="840" t="s">
        <v>525</v>
      </c>
      <c r="B184" s="834" t="s">
        <v>438</v>
      </c>
      <c r="C184" s="834">
        <v>6960</v>
      </c>
      <c r="D184" s="834">
        <v>6930</v>
      </c>
      <c r="E184" s="834">
        <v>7570</v>
      </c>
      <c r="F184" s="852"/>
    </row>
    <row r="185" spans="1:6" s="828" customFormat="1" ht="14.25" customHeight="1" thickBot="1">
      <c r="A185" s="840" t="s">
        <v>525</v>
      </c>
      <c r="B185" s="834" t="s">
        <v>445</v>
      </c>
      <c r="C185" s="834">
        <v>7260</v>
      </c>
      <c r="D185" s="834">
        <v>7230</v>
      </c>
      <c r="E185" s="834">
        <v>7710</v>
      </c>
      <c r="F185" s="848">
        <v>1360</v>
      </c>
    </row>
    <row r="186" spans="1:6" s="828" customFormat="1" ht="14.25" customHeight="1" thickBot="1">
      <c r="A186" s="840" t="s">
        <v>525</v>
      </c>
      <c r="B186" s="834" t="s">
        <v>450</v>
      </c>
      <c r="C186" s="834"/>
      <c r="D186" s="834"/>
      <c r="E186" s="834"/>
      <c r="F186" s="848">
        <v>1560</v>
      </c>
    </row>
    <row r="187" spans="1:6" s="828" customFormat="1" ht="14.25" customHeight="1" thickBot="1">
      <c r="A187" s="840" t="s">
        <v>525</v>
      </c>
      <c r="B187" s="834" t="s">
        <v>454</v>
      </c>
      <c r="C187" s="834"/>
      <c r="D187" s="834"/>
      <c r="E187" s="834"/>
      <c r="F187" s="848">
        <v>1560</v>
      </c>
    </row>
    <row r="188" spans="1:6" s="828" customFormat="1" ht="14.25" customHeight="1" thickBot="1">
      <c r="A188" s="840" t="s">
        <v>525</v>
      </c>
      <c r="B188" s="834" t="s">
        <v>459</v>
      </c>
      <c r="C188" s="834"/>
      <c r="D188" s="834"/>
      <c r="E188" s="834"/>
      <c r="F188" s="848">
        <v>1560</v>
      </c>
    </row>
    <row r="189" spans="1:6" s="828" customFormat="1" ht="14.25" customHeight="1" thickBot="1">
      <c r="A189" s="840" t="s">
        <v>525</v>
      </c>
      <c r="B189" s="834" t="s">
        <v>464</v>
      </c>
      <c r="C189" s="834"/>
      <c r="D189" s="834"/>
      <c r="E189" s="834"/>
      <c r="F189" s="848">
        <v>1320</v>
      </c>
    </row>
    <row r="190" spans="1:6" s="828" customFormat="1" ht="14.25" customHeight="1" thickBot="1">
      <c r="A190" s="840" t="s">
        <v>525</v>
      </c>
      <c r="B190" s="834" t="s">
        <v>469</v>
      </c>
      <c r="C190" s="834"/>
      <c r="D190" s="834"/>
      <c r="E190" s="834"/>
      <c r="F190" s="848">
        <v>1320</v>
      </c>
    </row>
    <row r="191" spans="1:6" s="828" customFormat="1" ht="14.25" customHeight="1" thickBot="1">
      <c r="A191" s="840" t="s">
        <v>525</v>
      </c>
      <c r="B191" s="834" t="s">
        <v>474</v>
      </c>
      <c r="C191" s="834"/>
      <c r="D191" s="834"/>
      <c r="E191" s="834"/>
      <c r="F191" s="848">
        <v>1320</v>
      </c>
    </row>
    <row r="192" spans="1:6" s="828" customFormat="1" ht="14.25" customHeight="1" thickBot="1">
      <c r="A192" s="840" t="s">
        <v>525</v>
      </c>
      <c r="B192" s="834" t="s">
        <v>478</v>
      </c>
      <c r="C192" s="834"/>
      <c r="D192" s="834"/>
      <c r="E192" s="834"/>
      <c r="F192" s="848">
        <v>1100</v>
      </c>
    </row>
    <row r="193" spans="1:6" s="828" customFormat="1" ht="14.25" customHeight="1" thickBot="1">
      <c r="A193" s="840" t="s">
        <v>525</v>
      </c>
      <c r="B193" s="834" t="s">
        <v>482</v>
      </c>
      <c r="C193" s="834"/>
      <c r="D193" s="834"/>
      <c r="E193" s="834"/>
      <c r="F193" s="848">
        <v>1100</v>
      </c>
    </row>
    <row r="194" spans="1:6" s="828" customFormat="1" ht="14.25" customHeight="1" thickBot="1">
      <c r="A194" s="840" t="s">
        <v>525</v>
      </c>
      <c r="B194" s="834" t="s">
        <v>486</v>
      </c>
      <c r="C194" s="834"/>
      <c r="D194" s="834"/>
      <c r="E194" s="834"/>
      <c r="F194" s="848">
        <v>1080</v>
      </c>
    </row>
    <row r="195" spans="1:6" s="828" customFormat="1" ht="14.25" customHeight="1" thickBot="1">
      <c r="A195" s="840" t="s">
        <v>525</v>
      </c>
      <c r="B195" s="834" t="s">
        <v>490</v>
      </c>
      <c r="C195" s="834"/>
      <c r="D195" s="834"/>
      <c r="E195" s="834"/>
      <c r="F195" s="848">
        <v>1270</v>
      </c>
    </row>
    <row r="196" spans="1:6" s="828" customFormat="1" ht="14.25" customHeight="1" thickBot="1">
      <c r="A196" s="840" t="s">
        <v>525</v>
      </c>
      <c r="B196" s="834" t="s">
        <v>494</v>
      </c>
      <c r="C196" s="834"/>
      <c r="D196" s="834"/>
      <c r="E196" s="834"/>
      <c r="F196" s="848">
        <v>1150</v>
      </c>
    </row>
    <row r="197" spans="1:6" s="828" customFormat="1" ht="14.25" customHeight="1" thickBot="1">
      <c r="A197" s="840" t="s">
        <v>525</v>
      </c>
      <c r="B197" s="834" t="s">
        <v>498</v>
      </c>
      <c r="C197" s="834"/>
      <c r="D197" s="834"/>
      <c r="E197" s="834"/>
      <c r="F197" s="848">
        <v>1330</v>
      </c>
    </row>
    <row r="198" spans="1:6" s="828" customFormat="1" ht="14.25" customHeight="1" thickBot="1">
      <c r="A198" s="840" t="s">
        <v>525</v>
      </c>
      <c r="B198" s="834" t="s">
        <v>501</v>
      </c>
      <c r="C198" s="834"/>
      <c r="D198" s="834"/>
      <c r="E198" s="834"/>
      <c r="F198" s="848">
        <v>1170</v>
      </c>
    </row>
    <row r="199" spans="1:6" s="828" customFormat="1" ht="14.25" customHeight="1" thickBot="1">
      <c r="A199" s="840" t="s">
        <v>525</v>
      </c>
      <c r="B199" s="834" t="s">
        <v>504</v>
      </c>
      <c r="C199" s="834"/>
      <c r="D199" s="834"/>
      <c r="E199" s="834"/>
      <c r="F199" s="848">
        <v>1120</v>
      </c>
    </row>
    <row r="200" spans="1:6" s="828" customFormat="1" ht="14.25" customHeight="1" thickBot="1">
      <c r="A200" s="840" t="s">
        <v>525</v>
      </c>
      <c r="B200" s="834" t="s">
        <v>507</v>
      </c>
      <c r="C200" s="834"/>
      <c r="D200" s="834"/>
      <c r="E200" s="834"/>
      <c r="F200" s="848">
        <v>1120</v>
      </c>
    </row>
    <row r="201" spans="1:6" s="828" customFormat="1" ht="14.25" customHeight="1" thickBot="1">
      <c r="A201" s="840" t="s">
        <v>525</v>
      </c>
      <c r="B201" s="834" t="s">
        <v>510</v>
      </c>
      <c r="C201" s="834"/>
      <c r="D201" s="834"/>
      <c r="E201" s="834"/>
      <c r="F201" s="848">
        <v>1540</v>
      </c>
    </row>
    <row r="202" spans="1:6" s="828" customFormat="1" ht="14.25" customHeight="1" thickBot="1">
      <c r="A202" s="840" t="s">
        <v>525</v>
      </c>
      <c r="B202" s="834" t="s">
        <v>513</v>
      </c>
      <c r="C202" s="834"/>
      <c r="D202" s="834"/>
      <c r="E202" s="834"/>
      <c r="F202" s="848">
        <v>1310</v>
      </c>
    </row>
    <row r="203" spans="1:6" s="828" customFormat="1" ht="14.25" customHeight="1" thickBot="1">
      <c r="A203" s="840" t="s">
        <v>525</v>
      </c>
      <c r="B203" s="834" t="s">
        <v>516</v>
      </c>
      <c r="C203" s="834"/>
      <c r="D203" s="834"/>
      <c r="E203" s="834"/>
      <c r="F203" s="848">
        <v>1310</v>
      </c>
    </row>
    <row r="204" spans="1:6" s="828" customFormat="1" ht="14.25" customHeight="1" thickBot="1">
      <c r="A204" s="840" t="s">
        <v>525</v>
      </c>
      <c r="B204" s="834" t="s">
        <v>518</v>
      </c>
      <c r="C204" s="834"/>
      <c r="D204" s="834"/>
      <c r="E204" s="834"/>
      <c r="F204" s="848">
        <v>1080</v>
      </c>
    </row>
    <row r="205" spans="1:6" s="828" customFormat="1" ht="14.25" customHeight="1" thickBot="1">
      <c r="A205" s="840" t="s">
        <v>525</v>
      </c>
      <c r="B205" s="834" t="s">
        <v>521</v>
      </c>
      <c r="C205" s="834"/>
      <c r="D205" s="834"/>
      <c r="E205" s="834"/>
      <c r="F205" s="848">
        <v>1080</v>
      </c>
    </row>
    <row r="206" spans="1:6" s="828" customFormat="1" ht="14.25" customHeight="1" thickBot="1">
      <c r="A206" s="840" t="s">
        <v>527</v>
      </c>
      <c r="B206" s="841" t="s">
        <v>528</v>
      </c>
      <c r="C206" s="841">
        <v>5450</v>
      </c>
      <c r="D206" s="841">
        <v>5430</v>
      </c>
      <c r="E206" s="841">
        <v>5700</v>
      </c>
      <c r="F206" s="842">
        <v>1020</v>
      </c>
    </row>
    <row r="207" spans="1:6" s="828" customFormat="1" ht="14.25" customHeight="1" thickBot="1">
      <c r="A207" s="840" t="s">
        <v>527</v>
      </c>
      <c r="B207" s="834" t="s">
        <v>193</v>
      </c>
      <c r="C207" s="834">
        <v>5860</v>
      </c>
      <c r="D207" s="834">
        <v>5820</v>
      </c>
      <c r="E207" s="834">
        <v>6050</v>
      </c>
      <c r="F207" s="848">
        <v>1080</v>
      </c>
    </row>
    <row r="208" spans="1:6" s="828" customFormat="1" ht="14.25" customHeight="1" thickBot="1">
      <c r="A208" s="840" t="s">
        <v>527</v>
      </c>
      <c r="B208" s="834" t="s">
        <v>206</v>
      </c>
      <c r="C208" s="834">
        <v>4630</v>
      </c>
      <c r="D208" s="834">
        <v>4600</v>
      </c>
      <c r="E208" s="834">
        <v>4840</v>
      </c>
      <c r="F208" s="848">
        <v>900</v>
      </c>
    </row>
    <row r="209" spans="1:6" s="828" customFormat="1" ht="14.25" customHeight="1" thickBot="1">
      <c r="A209" s="840" t="s">
        <v>527</v>
      </c>
      <c r="B209" s="834" t="s">
        <v>219</v>
      </c>
      <c r="C209" s="834">
        <v>5320</v>
      </c>
      <c r="D209" s="834">
        <v>5270</v>
      </c>
      <c r="E209" s="834">
        <v>5540</v>
      </c>
      <c r="F209" s="848">
        <v>980</v>
      </c>
    </row>
    <row r="210" spans="1:6" s="828" customFormat="1" ht="14.25" customHeight="1" thickBot="1">
      <c r="A210" s="840" t="s">
        <v>527</v>
      </c>
      <c r="B210" s="834" t="s">
        <v>231</v>
      </c>
      <c r="C210" s="834">
        <v>5760</v>
      </c>
      <c r="D210" s="834">
        <v>5710</v>
      </c>
      <c r="E210" s="834">
        <v>6010</v>
      </c>
      <c r="F210" s="848">
        <v>870</v>
      </c>
    </row>
    <row r="211" spans="1:6" s="828" customFormat="1" ht="14.25" customHeight="1" thickBot="1">
      <c r="A211" s="840" t="s">
        <v>527</v>
      </c>
      <c r="B211" s="834" t="s">
        <v>242</v>
      </c>
      <c r="C211" s="834">
        <v>4160</v>
      </c>
      <c r="D211" s="834">
        <v>4100</v>
      </c>
      <c r="E211" s="834">
        <v>4270</v>
      </c>
      <c r="F211" s="848">
        <v>790</v>
      </c>
    </row>
    <row r="212" spans="1:6" s="828" customFormat="1" ht="14.25" customHeight="1" thickBot="1">
      <c r="A212" s="840" t="s">
        <v>527</v>
      </c>
      <c r="B212" s="834" t="s">
        <v>253</v>
      </c>
      <c r="C212" s="834">
        <v>4880</v>
      </c>
      <c r="D212" s="834">
        <v>4850</v>
      </c>
      <c r="E212" s="834">
        <v>5110</v>
      </c>
      <c r="F212" s="848">
        <v>940</v>
      </c>
    </row>
    <row r="213" spans="1:6" s="828" customFormat="1" ht="14.25" customHeight="1" thickBot="1">
      <c r="A213" s="840" t="s">
        <v>527</v>
      </c>
      <c r="B213" s="834" t="s">
        <v>264</v>
      </c>
      <c r="C213" s="834">
        <v>4640</v>
      </c>
      <c r="D213" s="834">
        <v>4590</v>
      </c>
      <c r="E213" s="834">
        <v>4700</v>
      </c>
      <c r="F213" s="848">
        <v>1030</v>
      </c>
    </row>
    <row r="214" spans="1:6" s="828" customFormat="1" ht="14.25" customHeight="1" thickBot="1">
      <c r="A214" s="840" t="s">
        <v>527</v>
      </c>
      <c r="B214" s="834" t="s">
        <v>276</v>
      </c>
      <c r="C214" s="834">
        <v>4540</v>
      </c>
      <c r="D214" s="834">
        <v>4490</v>
      </c>
      <c r="E214" s="834">
        <v>4610</v>
      </c>
      <c r="F214" s="852"/>
    </row>
    <row r="215" spans="1:6" s="828" customFormat="1" ht="14.25" customHeight="1" thickBot="1">
      <c r="A215" s="840" t="s">
        <v>527</v>
      </c>
      <c r="B215" s="834" t="s">
        <v>286</v>
      </c>
      <c r="C215" s="834">
        <v>5280</v>
      </c>
      <c r="D215" s="834">
        <v>5250</v>
      </c>
      <c r="E215" s="834">
        <v>5520</v>
      </c>
      <c r="F215" s="848">
        <v>1000</v>
      </c>
    </row>
    <row r="216" spans="1:6" s="828" customFormat="1" ht="14.25" customHeight="1" thickBot="1">
      <c r="A216" s="840" t="s">
        <v>527</v>
      </c>
      <c r="B216" s="834" t="s">
        <v>296</v>
      </c>
      <c r="C216" s="834">
        <v>5100</v>
      </c>
      <c r="D216" s="834">
        <v>5050</v>
      </c>
      <c r="E216" s="834">
        <v>5300</v>
      </c>
      <c r="F216" s="848">
        <v>950</v>
      </c>
    </row>
    <row r="217" spans="1:6" s="828" customFormat="1" ht="14.25" customHeight="1" thickBot="1">
      <c r="A217" s="840" t="s">
        <v>527</v>
      </c>
      <c r="B217" s="834" t="s">
        <v>306</v>
      </c>
      <c r="C217" s="834">
        <v>5370</v>
      </c>
      <c r="D217" s="834">
        <v>5320</v>
      </c>
      <c r="E217" s="834">
        <v>5410</v>
      </c>
      <c r="F217" s="848">
        <v>950</v>
      </c>
    </row>
    <row r="218" spans="1:6" s="828" customFormat="1" ht="14.25" customHeight="1" thickBot="1">
      <c r="A218" s="840" t="s">
        <v>527</v>
      </c>
      <c r="B218" s="834" t="s">
        <v>316</v>
      </c>
      <c r="C218" s="834">
        <v>5540</v>
      </c>
      <c r="D218" s="834">
        <v>5480</v>
      </c>
      <c r="E218" s="834">
        <v>5740</v>
      </c>
      <c r="F218" s="848">
        <v>1020</v>
      </c>
    </row>
    <row r="219" spans="1:6" s="828" customFormat="1" ht="14.25" customHeight="1" thickBot="1">
      <c r="A219" s="840" t="s">
        <v>527</v>
      </c>
      <c r="B219" s="834" t="s">
        <v>327</v>
      </c>
      <c r="C219" s="834">
        <v>5140</v>
      </c>
      <c r="D219" s="834">
        <v>5100</v>
      </c>
      <c r="E219" s="834">
        <v>5350</v>
      </c>
      <c r="F219" s="848">
        <v>1120</v>
      </c>
    </row>
    <row r="220" spans="1:6" s="828" customFormat="1" ht="14.25" customHeight="1" thickBot="1">
      <c r="A220" s="840" t="s">
        <v>527</v>
      </c>
      <c r="B220" s="834" t="s">
        <v>338</v>
      </c>
      <c r="C220" s="834">
        <v>5040</v>
      </c>
      <c r="D220" s="834">
        <v>5000</v>
      </c>
      <c r="E220" s="834">
        <v>5240</v>
      </c>
      <c r="F220" s="848">
        <v>980</v>
      </c>
    </row>
    <row r="221" spans="1:6" s="828" customFormat="1" ht="14.25" customHeight="1" thickBot="1">
      <c r="A221" s="840" t="s">
        <v>527</v>
      </c>
      <c r="B221" s="834" t="s">
        <v>348</v>
      </c>
      <c r="C221" s="853"/>
      <c r="D221" s="853"/>
      <c r="E221" s="853"/>
      <c r="F221" s="848">
        <v>1070</v>
      </c>
    </row>
    <row r="222" spans="1:6" s="828" customFormat="1" ht="14.25" customHeight="1" thickBot="1">
      <c r="A222" s="840" t="s">
        <v>527</v>
      </c>
      <c r="B222" s="834" t="s">
        <v>358</v>
      </c>
      <c r="C222" s="853"/>
      <c r="D222" s="853"/>
      <c r="E222" s="853"/>
      <c r="F222" s="848">
        <v>870</v>
      </c>
    </row>
    <row r="223" spans="1:6" s="828" customFormat="1" ht="14.25" customHeight="1" thickBot="1">
      <c r="A223" s="840" t="s">
        <v>527</v>
      </c>
      <c r="B223" s="834" t="s">
        <v>368</v>
      </c>
      <c r="C223" s="853"/>
      <c r="D223" s="853"/>
      <c r="E223" s="853"/>
      <c r="F223" s="848">
        <v>940</v>
      </c>
    </row>
    <row r="224" spans="1:6" s="828" customFormat="1" ht="14.25" customHeight="1" thickBot="1">
      <c r="A224" s="840" t="s">
        <v>527</v>
      </c>
      <c r="B224" s="834" t="s">
        <v>378</v>
      </c>
      <c r="C224" s="853"/>
      <c r="D224" s="853"/>
      <c r="E224" s="853"/>
      <c r="F224" s="848">
        <v>990</v>
      </c>
    </row>
    <row r="225" spans="1:6" s="828" customFormat="1" ht="14.25" customHeight="1" thickBot="1">
      <c r="A225" s="840" t="s">
        <v>527</v>
      </c>
      <c r="B225" s="834" t="s">
        <v>387</v>
      </c>
      <c r="C225" s="834">
        <v>5730</v>
      </c>
      <c r="D225" s="834">
        <v>5680</v>
      </c>
      <c r="E225" s="834">
        <v>6020</v>
      </c>
      <c r="F225" s="848">
        <v>1000</v>
      </c>
    </row>
    <row r="226" spans="1:6" s="828" customFormat="1" ht="14.25" customHeight="1" thickBot="1">
      <c r="A226" s="840" t="s">
        <v>527</v>
      </c>
      <c r="B226" s="834" t="s">
        <v>396</v>
      </c>
      <c r="C226" s="834">
        <v>4970</v>
      </c>
      <c r="D226" s="834">
        <v>4940</v>
      </c>
      <c r="E226" s="834">
        <v>5180</v>
      </c>
      <c r="F226" s="848">
        <v>960</v>
      </c>
    </row>
    <row r="227" spans="1:6" s="828" customFormat="1" ht="14.25" customHeight="1" thickBot="1">
      <c r="A227" s="840" t="s">
        <v>527</v>
      </c>
      <c r="B227" s="834" t="s">
        <v>404</v>
      </c>
      <c r="C227" s="834">
        <v>5550</v>
      </c>
      <c r="D227" s="834">
        <v>5500</v>
      </c>
      <c r="E227" s="834">
        <v>5780</v>
      </c>
      <c r="F227" s="848">
        <v>940</v>
      </c>
    </row>
    <row r="228" spans="1:6" s="828" customFormat="1" ht="14.25" customHeight="1" thickBot="1">
      <c r="A228" s="840" t="s">
        <v>527</v>
      </c>
      <c r="B228" s="834" t="s">
        <v>411</v>
      </c>
      <c r="C228" s="834">
        <v>5460</v>
      </c>
      <c r="D228" s="834">
        <v>5420</v>
      </c>
      <c r="E228" s="834">
        <v>5690</v>
      </c>
      <c r="F228" s="848">
        <v>910</v>
      </c>
    </row>
    <row r="229" spans="1:6" s="828" customFormat="1" ht="14.25" customHeight="1" thickBot="1">
      <c r="A229" s="840" t="s">
        <v>527</v>
      </c>
      <c r="B229" s="834" t="s">
        <v>418</v>
      </c>
      <c r="C229" s="834">
        <v>5310</v>
      </c>
      <c r="D229" s="834">
        <v>5270</v>
      </c>
      <c r="E229" s="834">
        <v>5510</v>
      </c>
      <c r="F229" s="852"/>
    </row>
    <row r="230" spans="1:6" s="828" customFormat="1" ht="14.25" customHeight="1" thickBot="1">
      <c r="A230" s="840" t="s">
        <v>527</v>
      </c>
      <c r="B230" s="834" t="s">
        <v>425</v>
      </c>
      <c r="C230" s="834">
        <v>4540</v>
      </c>
      <c r="D230" s="834">
        <v>4500</v>
      </c>
      <c r="E230" s="834">
        <v>4730</v>
      </c>
      <c r="F230" s="852"/>
    </row>
    <row r="231" spans="1:6" s="828" customFormat="1" ht="14.25" customHeight="1" thickBot="1">
      <c r="A231" s="840" t="s">
        <v>527</v>
      </c>
      <c r="B231" s="834" t="s">
        <v>432</v>
      </c>
      <c r="C231" s="834">
        <v>4480</v>
      </c>
      <c r="D231" s="834">
        <v>4410</v>
      </c>
      <c r="E231" s="834">
        <v>4640</v>
      </c>
      <c r="F231" s="852"/>
    </row>
    <row r="232" spans="1:6" s="828" customFormat="1" ht="14.25" customHeight="1" thickBot="1">
      <c r="A232" s="840" t="s">
        <v>527</v>
      </c>
      <c r="B232" s="834" t="s">
        <v>439</v>
      </c>
      <c r="C232" s="834">
        <v>5670</v>
      </c>
      <c r="D232" s="834">
        <v>5600</v>
      </c>
      <c r="E232" s="834">
        <v>5890</v>
      </c>
      <c r="F232" s="848">
        <v>1150</v>
      </c>
    </row>
    <row r="233" spans="1:6" s="828" customFormat="1" ht="14.25" customHeight="1" thickBot="1">
      <c r="A233" s="840" t="s">
        <v>527</v>
      </c>
      <c r="B233" s="834" t="s">
        <v>446</v>
      </c>
      <c r="C233" s="834">
        <v>4590</v>
      </c>
      <c r="D233" s="834">
        <v>4500</v>
      </c>
      <c r="E233" s="834">
        <v>4600</v>
      </c>
      <c r="F233" s="852"/>
    </row>
    <row r="234" spans="1:6" s="828" customFormat="1" ht="14.25" customHeight="1" thickBot="1">
      <c r="A234" s="840" t="s">
        <v>527</v>
      </c>
      <c r="B234" s="834" t="s">
        <v>1052</v>
      </c>
      <c r="C234" s="834">
        <v>3990</v>
      </c>
      <c r="D234" s="834">
        <v>3950</v>
      </c>
      <c r="E234" s="834">
        <v>4180</v>
      </c>
      <c r="F234" s="852"/>
    </row>
    <row r="235" spans="1:6" s="828" customFormat="1" ht="14.25" customHeight="1" thickBot="1">
      <c r="A235" s="840" t="s">
        <v>527</v>
      </c>
      <c r="B235" s="834" t="s">
        <v>455</v>
      </c>
      <c r="C235" s="834">
        <v>5590</v>
      </c>
      <c r="D235" s="834">
        <v>5540</v>
      </c>
      <c r="E235" s="834">
        <v>5810</v>
      </c>
      <c r="F235" s="848">
        <v>970</v>
      </c>
    </row>
    <row r="236" spans="1:6" s="828" customFormat="1" ht="14.25" customHeight="1" thickBot="1">
      <c r="A236" s="840" t="s">
        <v>527</v>
      </c>
      <c r="B236" s="834" t="s">
        <v>460</v>
      </c>
      <c r="C236" s="834"/>
      <c r="D236" s="834"/>
      <c r="E236" s="834"/>
      <c r="F236" s="848">
        <v>1020</v>
      </c>
    </row>
    <row r="237" spans="1:6" s="828" customFormat="1" ht="14.25" customHeight="1" thickBot="1">
      <c r="A237" s="840" t="s">
        <v>527</v>
      </c>
      <c r="B237" s="834" t="s">
        <v>465</v>
      </c>
      <c r="C237" s="834"/>
      <c r="D237" s="834"/>
      <c r="E237" s="834"/>
      <c r="F237" s="848">
        <v>960</v>
      </c>
    </row>
    <row r="238" spans="1:6" s="828" customFormat="1" ht="14.25" customHeight="1" thickBot="1">
      <c r="A238" s="840" t="s">
        <v>527</v>
      </c>
      <c r="B238" s="834" t="s">
        <v>470</v>
      </c>
      <c r="C238" s="834"/>
      <c r="D238" s="834"/>
      <c r="E238" s="834"/>
      <c r="F238" s="848">
        <v>960</v>
      </c>
    </row>
    <row r="239" spans="1:6" s="828" customFormat="1" ht="14.25" customHeight="1" thickBot="1">
      <c r="A239" s="840" t="s">
        <v>527</v>
      </c>
      <c r="B239" s="834" t="s">
        <v>475</v>
      </c>
      <c r="C239" s="834"/>
      <c r="D239" s="834"/>
      <c r="E239" s="834"/>
      <c r="F239" s="848">
        <v>960</v>
      </c>
    </row>
    <row r="240" spans="1:6" s="828" customFormat="1" ht="14.25" customHeight="1" thickBot="1">
      <c r="A240" s="840" t="s">
        <v>527</v>
      </c>
      <c r="B240" s="834" t="s">
        <v>479</v>
      </c>
      <c r="C240" s="834"/>
      <c r="D240" s="834"/>
      <c r="E240" s="834"/>
      <c r="F240" s="848">
        <v>990</v>
      </c>
    </row>
    <row r="241" spans="1:6" s="828" customFormat="1" ht="14.25" customHeight="1" thickBot="1">
      <c r="A241" s="840" t="s">
        <v>527</v>
      </c>
      <c r="B241" s="834" t="s">
        <v>483</v>
      </c>
      <c r="C241" s="834"/>
      <c r="D241" s="834"/>
      <c r="E241" s="834"/>
      <c r="F241" s="848">
        <v>1000</v>
      </c>
    </row>
    <row r="242" spans="1:6" s="828" customFormat="1" ht="14.25" customHeight="1" thickBot="1">
      <c r="A242" s="840" t="s">
        <v>527</v>
      </c>
      <c r="B242" s="834" t="s">
        <v>487</v>
      </c>
      <c r="C242" s="834"/>
      <c r="D242" s="834"/>
      <c r="E242" s="834"/>
      <c r="F242" s="848">
        <v>980</v>
      </c>
    </row>
    <row r="243" spans="1:6" s="828" customFormat="1" ht="14.25" customHeight="1" thickBot="1">
      <c r="A243" s="840" t="s">
        <v>527</v>
      </c>
      <c r="B243" s="834" t="s">
        <v>491</v>
      </c>
      <c r="C243" s="834"/>
      <c r="D243" s="834"/>
      <c r="E243" s="834"/>
      <c r="F243" s="848">
        <v>970</v>
      </c>
    </row>
    <row r="244" spans="1:6" s="828" customFormat="1" ht="14.25" customHeight="1" thickBot="1">
      <c r="A244" s="840" t="s">
        <v>527</v>
      </c>
      <c r="B244" s="846" t="s">
        <v>495</v>
      </c>
      <c r="C244" s="846"/>
      <c r="D244" s="846"/>
      <c r="E244" s="846"/>
      <c r="F244" s="851">
        <v>970</v>
      </c>
    </row>
    <row r="245" spans="1:6" s="828" customFormat="1" ht="14.25" customHeight="1" thickBot="1">
      <c r="A245" s="840" t="s">
        <v>529</v>
      </c>
      <c r="B245" s="841" t="s">
        <v>530</v>
      </c>
      <c r="C245" s="841">
        <v>4050</v>
      </c>
      <c r="D245" s="841">
        <v>4020</v>
      </c>
      <c r="E245" s="841">
        <v>4160</v>
      </c>
      <c r="F245" s="842">
        <v>840</v>
      </c>
    </row>
    <row r="246" spans="1:6" s="828" customFormat="1" ht="14.25" customHeight="1" thickBot="1">
      <c r="A246" s="840" t="s">
        <v>529</v>
      </c>
      <c r="B246" s="834" t="s">
        <v>194</v>
      </c>
      <c r="C246" s="834">
        <v>4010</v>
      </c>
      <c r="D246" s="834">
        <v>3960</v>
      </c>
      <c r="E246" s="834">
        <v>4130</v>
      </c>
      <c r="F246" s="848">
        <v>840</v>
      </c>
    </row>
    <row r="247" spans="1:6" s="828" customFormat="1" ht="14.25" customHeight="1" thickBot="1">
      <c r="A247" s="840" t="s">
        <v>529</v>
      </c>
      <c r="B247" s="834" t="s">
        <v>531</v>
      </c>
      <c r="C247" s="834">
        <v>3170</v>
      </c>
      <c r="D247" s="834">
        <v>3140</v>
      </c>
      <c r="E247" s="834">
        <v>3270</v>
      </c>
      <c r="F247" s="848">
        <v>640</v>
      </c>
    </row>
    <row r="248" spans="1:6" s="828" customFormat="1" ht="14.25" customHeight="1" thickBot="1">
      <c r="A248" s="840" t="s">
        <v>529</v>
      </c>
      <c r="B248" s="834" t="s">
        <v>532</v>
      </c>
      <c r="C248" s="834">
        <v>3140</v>
      </c>
      <c r="D248" s="834">
        <v>3120</v>
      </c>
      <c r="E248" s="834">
        <v>3240</v>
      </c>
      <c r="F248" s="848">
        <v>620</v>
      </c>
    </row>
    <row r="249" spans="1:6" s="828" customFormat="1" ht="14.25" customHeight="1" thickBot="1">
      <c r="A249" s="840" t="s">
        <v>529</v>
      </c>
      <c r="B249" s="834" t="s">
        <v>232</v>
      </c>
      <c r="C249" s="834">
        <v>3200</v>
      </c>
      <c r="D249" s="834">
        <v>3100</v>
      </c>
      <c r="E249" s="834">
        <v>3230</v>
      </c>
      <c r="F249" s="848">
        <v>750</v>
      </c>
    </row>
    <row r="250" spans="1:6" s="828" customFormat="1" ht="14.25" customHeight="1" thickBot="1">
      <c r="A250" s="840" t="s">
        <v>529</v>
      </c>
      <c r="B250" s="834" t="s">
        <v>243</v>
      </c>
      <c r="C250" s="834">
        <v>4060</v>
      </c>
      <c r="D250" s="834">
        <v>4000</v>
      </c>
      <c r="E250" s="834">
        <v>4140</v>
      </c>
      <c r="F250" s="848">
        <v>790</v>
      </c>
    </row>
    <row r="251" spans="1:6" s="828" customFormat="1" ht="14.25" customHeight="1" thickBot="1">
      <c r="A251" s="840" t="s">
        <v>529</v>
      </c>
      <c r="B251" s="834" t="s">
        <v>254</v>
      </c>
      <c r="C251" s="834">
        <v>3990</v>
      </c>
      <c r="D251" s="834">
        <v>3970</v>
      </c>
      <c r="E251" s="834">
        <v>4110</v>
      </c>
      <c r="F251" s="848">
        <v>730</v>
      </c>
    </row>
    <row r="252" spans="1:6" s="828" customFormat="1" ht="14.25" customHeight="1" thickBot="1">
      <c r="A252" s="840" t="s">
        <v>529</v>
      </c>
      <c r="B252" s="834" t="s">
        <v>265</v>
      </c>
      <c r="C252" s="834">
        <v>3560</v>
      </c>
      <c r="D252" s="834">
        <v>3530</v>
      </c>
      <c r="E252" s="834">
        <v>3650</v>
      </c>
      <c r="F252" s="848">
        <v>750</v>
      </c>
    </row>
    <row r="253" spans="1:6" s="828" customFormat="1" ht="14.25" customHeight="1" thickBot="1">
      <c r="A253" s="840" t="s">
        <v>529</v>
      </c>
      <c r="B253" s="834" t="s">
        <v>277</v>
      </c>
      <c r="C253" s="834">
        <v>3780</v>
      </c>
      <c r="D253" s="834">
        <v>3750</v>
      </c>
      <c r="E253" s="834">
        <v>3870</v>
      </c>
      <c r="F253" s="848">
        <v>770</v>
      </c>
    </row>
    <row r="254" spans="1:6" s="828" customFormat="1" ht="14.25" customHeight="1" thickBot="1">
      <c r="A254" s="840" t="s">
        <v>529</v>
      </c>
      <c r="B254" s="834" t="s">
        <v>287</v>
      </c>
      <c r="C254" s="853"/>
      <c r="D254" s="853"/>
      <c r="E254" s="853"/>
      <c r="F254" s="848">
        <v>740</v>
      </c>
    </row>
    <row r="255" spans="1:6" s="828" customFormat="1" ht="14.25" customHeight="1" thickBot="1">
      <c r="A255" s="840" t="s">
        <v>529</v>
      </c>
      <c r="B255" s="834" t="s">
        <v>297</v>
      </c>
      <c r="C255" s="853"/>
      <c r="D255" s="853"/>
      <c r="E255" s="853"/>
      <c r="F255" s="848">
        <v>760</v>
      </c>
    </row>
    <row r="256" spans="1:6" s="828" customFormat="1" ht="14.25" customHeight="1" thickBot="1">
      <c r="A256" s="840" t="s">
        <v>529</v>
      </c>
      <c r="B256" s="834" t="s">
        <v>307</v>
      </c>
      <c r="C256" s="834">
        <v>3760</v>
      </c>
      <c r="D256" s="834">
        <v>3730</v>
      </c>
      <c r="E256" s="834">
        <v>3870</v>
      </c>
      <c r="F256" s="848">
        <v>830</v>
      </c>
    </row>
    <row r="257" spans="1:6" s="828" customFormat="1" ht="14.25" customHeight="1" thickBot="1">
      <c r="A257" s="840" t="s">
        <v>529</v>
      </c>
      <c r="B257" s="834" t="s">
        <v>317</v>
      </c>
      <c r="C257" s="834">
        <v>3570</v>
      </c>
      <c r="D257" s="834">
        <v>3540</v>
      </c>
      <c r="E257" s="834">
        <v>3650</v>
      </c>
      <c r="F257" s="848">
        <v>790</v>
      </c>
    </row>
    <row r="258" spans="1:6" s="828" customFormat="1" ht="14.25" customHeight="1" thickBot="1">
      <c r="A258" s="840" t="s">
        <v>529</v>
      </c>
      <c r="B258" s="834" t="s">
        <v>328</v>
      </c>
      <c r="C258" s="834">
        <v>3410</v>
      </c>
      <c r="D258" s="834">
        <v>3380</v>
      </c>
      <c r="E258" s="834">
        <v>3500</v>
      </c>
      <c r="F258" s="848">
        <v>830</v>
      </c>
    </row>
    <row r="259" spans="1:6" s="828" customFormat="1" ht="14.25" customHeight="1" thickBot="1">
      <c r="A259" s="840" t="s">
        <v>529</v>
      </c>
      <c r="B259" s="834" t="s">
        <v>339</v>
      </c>
      <c r="C259" s="834">
        <v>3870</v>
      </c>
      <c r="D259" s="834">
        <v>3840</v>
      </c>
      <c r="E259" s="834">
        <v>3970</v>
      </c>
      <c r="F259" s="848">
        <v>830</v>
      </c>
    </row>
    <row r="260" spans="1:6" s="828" customFormat="1" ht="14.25" customHeight="1" thickBot="1">
      <c r="A260" s="840" t="s">
        <v>529</v>
      </c>
      <c r="B260" s="834" t="s">
        <v>349</v>
      </c>
      <c r="C260" s="834">
        <v>3700</v>
      </c>
      <c r="D260" s="834">
        <v>3660</v>
      </c>
      <c r="E260" s="834">
        <v>3810</v>
      </c>
      <c r="F260" s="848">
        <v>790</v>
      </c>
    </row>
    <row r="261" spans="1:6" s="828" customFormat="1" ht="14.25" customHeight="1" thickBot="1">
      <c r="A261" s="840" t="s">
        <v>529</v>
      </c>
      <c r="B261" s="834" t="s">
        <v>359</v>
      </c>
      <c r="C261" s="834">
        <v>3470</v>
      </c>
      <c r="D261" s="834">
        <v>3430</v>
      </c>
      <c r="E261" s="834">
        <v>3640</v>
      </c>
      <c r="F261" s="848">
        <v>760</v>
      </c>
    </row>
    <row r="262" spans="1:6" s="828" customFormat="1" ht="14.25" customHeight="1" thickBot="1">
      <c r="A262" s="840" t="s">
        <v>529</v>
      </c>
      <c r="B262" s="834" t="s">
        <v>369</v>
      </c>
      <c r="C262" s="834">
        <v>3510</v>
      </c>
      <c r="D262" s="834">
        <v>3470</v>
      </c>
      <c r="E262" s="834">
        <v>3680</v>
      </c>
      <c r="F262" s="852"/>
    </row>
    <row r="263" spans="1:6" s="828" customFormat="1" ht="14.25" customHeight="1" thickBot="1">
      <c r="A263" s="840" t="s">
        <v>529</v>
      </c>
      <c r="B263" s="834" t="s">
        <v>379</v>
      </c>
      <c r="C263" s="834">
        <v>3960</v>
      </c>
      <c r="D263" s="834">
        <v>3930</v>
      </c>
      <c r="E263" s="834">
        <v>4070</v>
      </c>
      <c r="F263" s="848">
        <v>830</v>
      </c>
    </row>
    <row r="264" spans="1:6" s="828" customFormat="1" ht="14.25" customHeight="1" thickBot="1">
      <c r="A264" s="840" t="s">
        <v>529</v>
      </c>
      <c r="B264" s="834" t="s">
        <v>388</v>
      </c>
      <c r="C264" s="834">
        <v>4010</v>
      </c>
      <c r="D264" s="834">
        <v>3980</v>
      </c>
      <c r="E264" s="834">
        <v>4150</v>
      </c>
      <c r="F264" s="848">
        <v>760</v>
      </c>
    </row>
    <row r="265" spans="1:6" s="828" customFormat="1" ht="14.25" customHeight="1" thickBot="1">
      <c r="A265" s="840" t="s">
        <v>529</v>
      </c>
      <c r="B265" s="834" t="s">
        <v>397</v>
      </c>
      <c r="C265" s="834">
        <v>3910</v>
      </c>
      <c r="D265" s="834">
        <v>3890</v>
      </c>
      <c r="E265" s="834">
        <v>4040</v>
      </c>
      <c r="F265" s="848">
        <v>780</v>
      </c>
    </row>
    <row r="266" spans="1:6" s="828" customFormat="1" ht="14.25" customHeight="1" thickBot="1">
      <c r="A266" s="840" t="s">
        <v>529</v>
      </c>
      <c r="B266" s="834" t="s">
        <v>405</v>
      </c>
      <c r="C266" s="834">
        <v>3930</v>
      </c>
      <c r="D266" s="834">
        <v>3900</v>
      </c>
      <c r="E266" s="834">
        <v>4080</v>
      </c>
      <c r="F266" s="848">
        <v>770</v>
      </c>
    </row>
    <row r="267" spans="1:6" s="828" customFormat="1" ht="14.25" customHeight="1" thickBot="1">
      <c r="A267" s="840" t="s">
        <v>529</v>
      </c>
      <c r="B267" s="834" t="s">
        <v>412</v>
      </c>
      <c r="C267" s="834">
        <v>3800</v>
      </c>
      <c r="D267" s="834">
        <v>3780</v>
      </c>
      <c r="E267" s="834">
        <v>3930</v>
      </c>
      <c r="F267" s="852"/>
    </row>
    <row r="268" spans="1:6" s="828" customFormat="1" ht="14.25" customHeight="1" thickBot="1">
      <c r="A268" s="840" t="s">
        <v>529</v>
      </c>
      <c r="B268" s="834" t="s">
        <v>419</v>
      </c>
      <c r="C268" s="834">
        <v>3460</v>
      </c>
      <c r="D268" s="834">
        <v>3430</v>
      </c>
      <c r="E268" s="834">
        <v>3560</v>
      </c>
      <c r="F268" s="848">
        <v>840</v>
      </c>
    </row>
    <row r="269" spans="1:6" s="828" customFormat="1" ht="14.25" customHeight="1" thickBot="1">
      <c r="A269" s="840" t="s">
        <v>529</v>
      </c>
      <c r="B269" s="834" t="s">
        <v>426</v>
      </c>
      <c r="C269" s="834">
        <v>3210</v>
      </c>
      <c r="D269" s="834">
        <v>3190</v>
      </c>
      <c r="E269" s="834">
        <v>3310</v>
      </c>
      <c r="F269" s="848">
        <v>730</v>
      </c>
    </row>
    <row r="270" spans="1:6" s="828" customFormat="1" ht="14.25" customHeight="1" thickBot="1">
      <c r="A270" s="840" t="s">
        <v>529</v>
      </c>
      <c r="B270" s="834" t="s">
        <v>433</v>
      </c>
      <c r="C270" s="834">
        <v>3240</v>
      </c>
      <c r="D270" s="834">
        <v>3210</v>
      </c>
      <c r="E270" s="834">
        <v>3390</v>
      </c>
      <c r="F270" s="848">
        <v>820</v>
      </c>
    </row>
    <row r="271" spans="1:6" s="828" customFormat="1" ht="14.25" customHeight="1" thickBot="1">
      <c r="A271" s="840" t="s">
        <v>529</v>
      </c>
      <c r="B271" s="834" t="s">
        <v>440</v>
      </c>
      <c r="C271" s="834">
        <v>3300</v>
      </c>
      <c r="D271" s="834">
        <v>3270</v>
      </c>
      <c r="E271" s="834">
        <v>3380</v>
      </c>
      <c r="F271" s="848">
        <v>750</v>
      </c>
    </row>
    <row r="272" spans="1:6" s="828" customFormat="1" ht="14.25" customHeight="1" thickBot="1">
      <c r="A272" s="840" t="s">
        <v>529</v>
      </c>
      <c r="B272" s="834" t="s">
        <v>447</v>
      </c>
      <c r="C272" s="853"/>
      <c r="D272" s="853"/>
      <c r="E272" s="853"/>
      <c r="F272" s="848">
        <v>740</v>
      </c>
    </row>
    <row r="273" spans="1:6" s="828" customFormat="1" ht="14.25" customHeight="1" thickBot="1">
      <c r="A273" s="840" t="s">
        <v>529</v>
      </c>
      <c r="B273" s="834" t="s">
        <v>451</v>
      </c>
      <c r="C273" s="834">
        <v>3130</v>
      </c>
      <c r="D273" s="834">
        <v>3100</v>
      </c>
      <c r="E273" s="834">
        <v>3230</v>
      </c>
      <c r="F273" s="848">
        <v>700</v>
      </c>
    </row>
    <row r="274" spans="1:6" s="828" customFormat="1" ht="14.25" customHeight="1" thickBot="1">
      <c r="A274" s="840" t="s">
        <v>529</v>
      </c>
      <c r="B274" s="834" t="s">
        <v>456</v>
      </c>
      <c r="C274" s="834">
        <v>3460</v>
      </c>
      <c r="D274" s="834">
        <v>3430</v>
      </c>
      <c r="E274" s="834">
        <v>3560</v>
      </c>
      <c r="F274" s="848">
        <v>690</v>
      </c>
    </row>
    <row r="275" spans="1:6" s="828" customFormat="1" ht="14.25" customHeight="1" thickBot="1">
      <c r="A275" s="840" t="s">
        <v>529</v>
      </c>
      <c r="B275" s="834" t="s">
        <v>461</v>
      </c>
      <c r="C275" s="834">
        <v>4040</v>
      </c>
      <c r="D275" s="834">
        <v>4020</v>
      </c>
      <c r="E275" s="834">
        <v>4160</v>
      </c>
      <c r="F275" s="848">
        <v>820</v>
      </c>
    </row>
    <row r="276" spans="1:6" s="828" customFormat="1" ht="14.25" customHeight="1" thickBot="1">
      <c r="A276" s="840" t="s">
        <v>529</v>
      </c>
      <c r="B276" s="834" t="s">
        <v>466</v>
      </c>
      <c r="C276" s="834">
        <v>3270</v>
      </c>
      <c r="D276" s="834">
        <v>3240</v>
      </c>
      <c r="E276" s="834">
        <v>3350</v>
      </c>
      <c r="F276" s="848">
        <v>680</v>
      </c>
    </row>
    <row r="277" spans="1:6" s="828" customFormat="1" ht="14.25" customHeight="1" thickBot="1">
      <c r="A277" s="840" t="s">
        <v>529</v>
      </c>
      <c r="B277" s="834" t="s">
        <v>471</v>
      </c>
      <c r="C277" s="834">
        <v>2930</v>
      </c>
      <c r="D277" s="834">
        <v>2900</v>
      </c>
      <c r="E277" s="834">
        <v>3000</v>
      </c>
      <c r="F277" s="848">
        <v>640</v>
      </c>
    </row>
    <row r="278" spans="1:6" s="828" customFormat="1" ht="14.25" customHeight="1" thickBot="1">
      <c r="A278" s="840" t="s">
        <v>529</v>
      </c>
      <c r="B278" s="834" t="s">
        <v>476</v>
      </c>
      <c r="C278" s="834">
        <v>4080</v>
      </c>
      <c r="D278" s="834">
        <v>4030</v>
      </c>
      <c r="E278" s="834">
        <v>4140</v>
      </c>
      <c r="F278" s="848">
        <v>850</v>
      </c>
    </row>
    <row r="279" spans="1:6" s="828" customFormat="1" ht="14.25" customHeight="1" thickBot="1">
      <c r="A279" s="840" t="s">
        <v>529</v>
      </c>
      <c r="B279" s="834" t="s">
        <v>480</v>
      </c>
      <c r="C279" s="834"/>
      <c r="D279" s="834"/>
      <c r="E279" s="834"/>
      <c r="F279" s="848">
        <v>760</v>
      </c>
    </row>
    <row r="280" spans="1:6" s="828" customFormat="1" ht="14.25" customHeight="1" thickBot="1">
      <c r="A280" s="840" t="s">
        <v>529</v>
      </c>
      <c r="B280" s="834" t="s">
        <v>484</v>
      </c>
      <c r="C280" s="834"/>
      <c r="D280" s="834"/>
      <c r="E280" s="834"/>
      <c r="F280" s="848">
        <v>760</v>
      </c>
    </row>
    <row r="281" spans="1:6" s="828" customFormat="1" ht="14.25" customHeight="1" thickBot="1">
      <c r="A281" s="840" t="s">
        <v>529</v>
      </c>
      <c r="B281" s="834" t="s">
        <v>488</v>
      </c>
      <c r="C281" s="834"/>
      <c r="D281" s="834"/>
      <c r="E281" s="834"/>
      <c r="F281" s="848">
        <v>780</v>
      </c>
    </row>
    <row r="282" spans="1:6" s="828" customFormat="1" ht="14.25" customHeight="1" thickBot="1">
      <c r="A282" s="840" t="s">
        <v>529</v>
      </c>
      <c r="B282" s="834" t="s">
        <v>492</v>
      </c>
      <c r="C282" s="834"/>
      <c r="D282" s="834"/>
      <c r="E282" s="834"/>
      <c r="F282" s="848">
        <v>730</v>
      </c>
    </row>
    <row r="283" spans="1:6" s="828" customFormat="1" ht="14.25" customHeight="1" thickBot="1">
      <c r="A283" s="840" t="s">
        <v>529</v>
      </c>
      <c r="B283" s="834" t="s">
        <v>496</v>
      </c>
      <c r="C283" s="834"/>
      <c r="D283" s="834"/>
      <c r="E283" s="834"/>
      <c r="F283" s="848">
        <v>770</v>
      </c>
    </row>
    <row r="284" spans="1:6" s="828" customFormat="1" ht="14.25" customHeight="1" thickBot="1">
      <c r="A284" s="840" t="s">
        <v>529</v>
      </c>
      <c r="B284" s="834" t="s">
        <v>499</v>
      </c>
      <c r="C284" s="834"/>
      <c r="D284" s="834"/>
      <c r="E284" s="834"/>
      <c r="F284" s="848">
        <v>640</v>
      </c>
    </row>
    <row r="285" spans="1:6" s="828" customFormat="1" ht="14.25" customHeight="1" thickBot="1">
      <c r="A285" s="840" t="s">
        <v>529</v>
      </c>
      <c r="B285" s="834" t="s">
        <v>502</v>
      </c>
      <c r="C285" s="834"/>
      <c r="D285" s="834"/>
      <c r="E285" s="834"/>
      <c r="F285" s="848">
        <v>640</v>
      </c>
    </row>
    <row r="286" spans="1:6" s="828" customFormat="1" ht="14.25" customHeight="1" thickBot="1">
      <c r="A286" s="840" t="s">
        <v>529</v>
      </c>
      <c r="B286" s="834" t="s">
        <v>505</v>
      </c>
      <c r="C286" s="834"/>
      <c r="D286" s="834"/>
      <c r="E286" s="834"/>
      <c r="F286" s="848">
        <v>850</v>
      </c>
    </row>
    <row r="287" spans="1:6" s="828" customFormat="1" ht="14.25" customHeight="1" thickBot="1">
      <c r="A287" s="840" t="s">
        <v>529</v>
      </c>
      <c r="B287" s="834" t="s">
        <v>508</v>
      </c>
      <c r="C287" s="834"/>
      <c r="D287" s="834"/>
      <c r="E287" s="834"/>
      <c r="F287" s="848">
        <v>760</v>
      </c>
    </row>
    <row r="288" spans="1:6" s="828" customFormat="1" ht="14.25" customHeight="1" thickBot="1">
      <c r="A288" s="840" t="s">
        <v>529</v>
      </c>
      <c r="B288" s="834" t="s">
        <v>511</v>
      </c>
      <c r="C288" s="834"/>
      <c r="D288" s="834"/>
      <c r="E288" s="834"/>
      <c r="F288" s="848">
        <v>830</v>
      </c>
    </row>
    <row r="289" spans="1:6" s="828" customFormat="1" ht="14.25" customHeight="1" thickBot="1">
      <c r="A289" s="840" t="s">
        <v>529</v>
      </c>
      <c r="B289" s="846" t="s">
        <v>514</v>
      </c>
      <c r="C289" s="846"/>
      <c r="D289" s="846"/>
      <c r="E289" s="846"/>
      <c r="F289" s="851">
        <v>680</v>
      </c>
    </row>
    <row r="290" spans="1:6" s="828" customFormat="1" ht="14.25" customHeight="1" thickBot="1">
      <c r="A290" s="840" t="s">
        <v>533</v>
      </c>
      <c r="B290" s="841" t="s">
        <v>534</v>
      </c>
      <c r="C290" s="841">
        <v>2770</v>
      </c>
      <c r="D290" s="841">
        <v>2740</v>
      </c>
      <c r="E290" s="841">
        <v>2720</v>
      </c>
      <c r="F290" s="854"/>
    </row>
    <row r="291" spans="1:6" s="828" customFormat="1" ht="14.25" customHeight="1" thickBot="1">
      <c r="A291" s="840" t="s">
        <v>533</v>
      </c>
      <c r="B291" s="834" t="s">
        <v>195</v>
      </c>
      <c r="C291" s="834">
        <v>2670</v>
      </c>
      <c r="D291" s="834">
        <v>2640</v>
      </c>
      <c r="E291" s="834">
        <v>2620</v>
      </c>
      <c r="F291" s="852"/>
    </row>
    <row r="292" spans="1:6" s="828" customFormat="1" ht="14.25" customHeight="1" thickBot="1">
      <c r="A292" s="840" t="s">
        <v>533</v>
      </c>
      <c r="B292" s="834" t="s">
        <v>535</v>
      </c>
      <c r="C292" s="834">
        <v>2180</v>
      </c>
      <c r="D292" s="834">
        <v>2140</v>
      </c>
      <c r="E292" s="834">
        <v>2120</v>
      </c>
      <c r="F292" s="848">
        <v>490</v>
      </c>
    </row>
    <row r="293" spans="1:6" s="828" customFormat="1" ht="14.25" customHeight="1" thickBot="1">
      <c r="A293" s="840" t="s">
        <v>533</v>
      </c>
      <c r="B293" s="834" t="s">
        <v>536</v>
      </c>
      <c r="C293" s="834"/>
      <c r="D293" s="834"/>
      <c r="E293" s="834"/>
      <c r="F293" s="848">
        <v>470</v>
      </c>
    </row>
    <row r="294" spans="1:6" s="828" customFormat="1" ht="14.25" customHeight="1" thickBot="1">
      <c r="A294" s="840" t="s">
        <v>533</v>
      </c>
      <c r="B294" s="834" t="s">
        <v>537</v>
      </c>
      <c r="C294" s="834">
        <v>2730</v>
      </c>
      <c r="D294" s="834">
        <v>2700</v>
      </c>
      <c r="E294" s="834">
        <v>2680</v>
      </c>
      <c r="F294" s="848">
        <v>490</v>
      </c>
    </row>
    <row r="295" spans="1:6" s="828" customFormat="1" ht="14.25" customHeight="1" thickBot="1">
      <c r="A295" s="840" t="s">
        <v>533</v>
      </c>
      <c r="B295" s="834" t="s">
        <v>233</v>
      </c>
      <c r="C295" s="834">
        <v>2380</v>
      </c>
      <c r="D295" s="834">
        <v>2350</v>
      </c>
      <c r="E295" s="834">
        <v>2330</v>
      </c>
      <c r="F295" s="848">
        <v>530</v>
      </c>
    </row>
    <row r="296" spans="1:6" s="828" customFormat="1" ht="14.25" customHeight="1" thickBot="1">
      <c r="A296" s="840" t="s">
        <v>533</v>
      </c>
      <c r="B296" s="834" t="s">
        <v>244</v>
      </c>
      <c r="C296" s="834">
        <v>2650</v>
      </c>
      <c r="D296" s="834">
        <v>2620</v>
      </c>
      <c r="E296" s="834">
        <v>2590</v>
      </c>
      <c r="F296" s="848">
        <v>590</v>
      </c>
    </row>
    <row r="297" spans="1:6" s="828" customFormat="1" ht="14.25" customHeight="1" thickBot="1">
      <c r="A297" s="840" t="s">
        <v>533</v>
      </c>
      <c r="B297" s="834" t="s">
        <v>255</v>
      </c>
      <c r="C297" s="834">
        <v>2700</v>
      </c>
      <c r="D297" s="834">
        <v>2670</v>
      </c>
      <c r="E297" s="834">
        <v>2650</v>
      </c>
      <c r="F297" s="848">
        <v>630</v>
      </c>
    </row>
    <row r="298" spans="1:6" s="828" customFormat="1" ht="14.25" customHeight="1" thickBot="1">
      <c r="A298" s="840" t="s">
        <v>533</v>
      </c>
      <c r="B298" s="834" t="s">
        <v>266</v>
      </c>
      <c r="C298" s="834">
        <v>2650</v>
      </c>
      <c r="D298" s="834">
        <v>2620</v>
      </c>
      <c r="E298" s="834">
        <v>2590</v>
      </c>
      <c r="F298" s="848">
        <v>640</v>
      </c>
    </row>
    <row r="299" spans="1:6" s="828" customFormat="1" ht="14.25" customHeight="1" thickBot="1">
      <c r="A299" s="840" t="s">
        <v>533</v>
      </c>
      <c r="B299" s="834" t="s">
        <v>278</v>
      </c>
      <c r="C299" s="834">
        <v>2500</v>
      </c>
      <c r="D299" s="834">
        <v>2480</v>
      </c>
      <c r="E299" s="834">
        <v>2460</v>
      </c>
      <c r="F299" s="852"/>
    </row>
    <row r="300" spans="1:6" s="828" customFormat="1" ht="14.25" customHeight="1" thickBot="1">
      <c r="A300" s="840" t="s">
        <v>533</v>
      </c>
      <c r="B300" s="834" t="s">
        <v>288</v>
      </c>
      <c r="C300" s="834">
        <v>2760</v>
      </c>
      <c r="D300" s="834">
        <v>2730</v>
      </c>
      <c r="E300" s="834">
        <v>2700</v>
      </c>
      <c r="F300" s="848">
        <v>630</v>
      </c>
    </row>
    <row r="301" spans="1:6" s="828" customFormat="1" ht="14.25" customHeight="1" thickBot="1">
      <c r="A301" s="840" t="s">
        <v>533</v>
      </c>
      <c r="B301" s="834" t="s">
        <v>298</v>
      </c>
      <c r="C301" s="834">
        <v>2510</v>
      </c>
      <c r="D301" s="834">
        <v>2480</v>
      </c>
      <c r="E301" s="834">
        <v>2460</v>
      </c>
      <c r="F301" s="852"/>
    </row>
    <row r="302" spans="1:6" s="828" customFormat="1" ht="14.25" customHeight="1" thickBot="1">
      <c r="A302" s="840" t="s">
        <v>533</v>
      </c>
      <c r="B302" s="834" t="s">
        <v>308</v>
      </c>
      <c r="C302" s="834">
        <v>2480</v>
      </c>
      <c r="D302" s="834">
        <v>2450</v>
      </c>
      <c r="E302" s="834">
        <v>2420</v>
      </c>
      <c r="F302" s="848">
        <v>600</v>
      </c>
    </row>
    <row r="303" spans="1:6" s="828" customFormat="1" ht="14.25" customHeight="1" thickBot="1">
      <c r="A303" s="840" t="s">
        <v>533</v>
      </c>
      <c r="B303" s="834" t="s">
        <v>318</v>
      </c>
      <c r="C303" s="834">
        <v>2270</v>
      </c>
      <c r="D303" s="834">
        <v>2240</v>
      </c>
      <c r="E303" s="834">
        <v>2210</v>
      </c>
      <c r="F303" s="848">
        <v>540</v>
      </c>
    </row>
    <row r="304" spans="1:6" s="828" customFormat="1" ht="14.25" customHeight="1" thickBot="1">
      <c r="A304" s="840" t="s">
        <v>533</v>
      </c>
      <c r="B304" s="834" t="s">
        <v>329</v>
      </c>
      <c r="C304" s="834">
        <v>2310</v>
      </c>
      <c r="D304" s="834">
        <v>2290</v>
      </c>
      <c r="E304" s="834">
        <v>2270</v>
      </c>
      <c r="F304" s="852"/>
    </row>
    <row r="305" spans="1:6" s="828" customFormat="1" ht="14.25" customHeight="1" thickBot="1">
      <c r="A305" s="840" t="s">
        <v>533</v>
      </c>
      <c r="B305" s="834" t="s">
        <v>340</v>
      </c>
      <c r="C305" s="834">
        <v>2490</v>
      </c>
      <c r="D305" s="834">
        <v>2470</v>
      </c>
      <c r="E305" s="834">
        <v>2440</v>
      </c>
      <c r="F305" s="848">
        <v>560</v>
      </c>
    </row>
    <row r="306" spans="1:6" s="828" customFormat="1" ht="14.25" customHeight="1" thickBot="1">
      <c r="A306" s="840" t="s">
        <v>533</v>
      </c>
      <c r="B306" s="834" t="s">
        <v>350</v>
      </c>
      <c r="C306" s="834">
        <v>2420</v>
      </c>
      <c r="D306" s="834">
        <v>2400</v>
      </c>
      <c r="E306" s="834">
        <v>2380</v>
      </c>
      <c r="F306" s="852"/>
    </row>
    <row r="307" spans="1:6" s="828" customFormat="1" ht="14.25" customHeight="1" thickBot="1">
      <c r="A307" s="840" t="s">
        <v>533</v>
      </c>
      <c r="B307" s="834" t="s">
        <v>360</v>
      </c>
      <c r="C307" s="834">
        <v>2770</v>
      </c>
      <c r="D307" s="834">
        <v>2740</v>
      </c>
      <c r="E307" s="834">
        <v>2710</v>
      </c>
      <c r="F307" s="848">
        <v>650</v>
      </c>
    </row>
    <row r="308" spans="1:6" s="828" customFormat="1" ht="14.25" customHeight="1" thickBot="1">
      <c r="A308" s="840" t="s">
        <v>533</v>
      </c>
      <c r="B308" s="834" t="s">
        <v>370</v>
      </c>
      <c r="C308" s="834">
        <v>2610</v>
      </c>
      <c r="D308" s="834">
        <v>2580</v>
      </c>
      <c r="E308" s="834">
        <v>2550</v>
      </c>
      <c r="F308" s="848">
        <v>580</v>
      </c>
    </row>
    <row r="309" spans="1:6" s="828" customFormat="1" ht="14.25" customHeight="1" thickBot="1">
      <c r="A309" s="840" t="s">
        <v>533</v>
      </c>
      <c r="B309" s="834" t="s">
        <v>380</v>
      </c>
      <c r="C309" s="834">
        <v>2690</v>
      </c>
      <c r="D309" s="834">
        <v>2670</v>
      </c>
      <c r="E309" s="834">
        <v>2650</v>
      </c>
      <c r="F309" s="852"/>
    </row>
    <row r="310" spans="1:6" s="828" customFormat="1" ht="14.25" customHeight="1" thickBot="1">
      <c r="A310" s="840" t="s">
        <v>533</v>
      </c>
      <c r="B310" s="834" t="s">
        <v>389</v>
      </c>
      <c r="C310" s="834">
        <v>2360</v>
      </c>
      <c r="D310" s="834">
        <v>2330</v>
      </c>
      <c r="E310" s="834">
        <v>2310</v>
      </c>
      <c r="F310" s="848">
        <v>560</v>
      </c>
    </row>
    <row r="311" spans="1:6" s="828" customFormat="1" ht="14.25" customHeight="1" thickBot="1">
      <c r="A311" s="840" t="s">
        <v>533</v>
      </c>
      <c r="B311" s="834" t="s">
        <v>398</v>
      </c>
      <c r="C311" s="834">
        <v>1970</v>
      </c>
      <c r="D311" s="834">
        <v>1950</v>
      </c>
      <c r="E311" s="834">
        <v>1920</v>
      </c>
      <c r="F311" s="848">
        <v>470</v>
      </c>
    </row>
    <row r="312" spans="1:6" s="828" customFormat="1" ht="14.25" customHeight="1" thickBot="1">
      <c r="A312" s="840" t="s">
        <v>533</v>
      </c>
      <c r="B312" s="834" t="s">
        <v>406</v>
      </c>
      <c r="C312" s="834">
        <v>2230</v>
      </c>
      <c r="D312" s="834">
        <v>2200</v>
      </c>
      <c r="E312" s="834">
        <v>2170</v>
      </c>
      <c r="F312" s="848">
        <v>460</v>
      </c>
    </row>
    <row r="313" spans="1:6" s="828" customFormat="1" ht="14.25" customHeight="1" thickBot="1">
      <c r="A313" s="840" t="s">
        <v>533</v>
      </c>
      <c r="B313" s="834" t="s">
        <v>413</v>
      </c>
      <c r="C313" s="834">
        <v>2770</v>
      </c>
      <c r="D313" s="834">
        <v>2740</v>
      </c>
      <c r="E313" s="834">
        <v>2710</v>
      </c>
      <c r="F313" s="848">
        <v>610</v>
      </c>
    </row>
    <row r="314" spans="1:6" s="828" customFormat="1" ht="14.25" customHeight="1" thickBot="1">
      <c r="A314" s="840" t="s">
        <v>533</v>
      </c>
      <c r="B314" s="834" t="s">
        <v>420</v>
      </c>
      <c r="C314" s="834"/>
      <c r="D314" s="834"/>
      <c r="E314" s="834"/>
      <c r="F314" s="848">
        <v>490</v>
      </c>
    </row>
    <row r="315" spans="1:6" s="828" customFormat="1" ht="14.25" customHeight="1" thickBot="1">
      <c r="A315" s="840" t="s">
        <v>533</v>
      </c>
      <c r="B315" s="834" t="s">
        <v>427</v>
      </c>
      <c r="C315" s="834"/>
      <c r="D315" s="834"/>
      <c r="E315" s="834"/>
      <c r="F315" s="848">
        <v>520</v>
      </c>
    </row>
    <row r="316" spans="1:6" s="828" customFormat="1" ht="14.25" customHeight="1" thickBot="1">
      <c r="A316" s="840" t="s">
        <v>533</v>
      </c>
      <c r="B316" s="846" t="s">
        <v>434</v>
      </c>
      <c r="C316" s="846"/>
      <c r="D316" s="846"/>
      <c r="E316" s="846"/>
      <c r="F316" s="851">
        <v>460</v>
      </c>
    </row>
    <row r="317" spans="1:6" s="828" customFormat="1" ht="14.25" customHeight="1" thickBot="1">
      <c r="A317" s="840" t="s">
        <v>320</v>
      </c>
      <c r="B317" s="841" t="s">
        <v>538</v>
      </c>
      <c r="C317" s="841">
        <v>1200</v>
      </c>
      <c r="D317" s="841">
        <v>1180</v>
      </c>
      <c r="E317" s="841">
        <v>1160</v>
      </c>
      <c r="F317" s="842">
        <v>370</v>
      </c>
    </row>
    <row r="318" spans="1:6" s="828" customFormat="1" ht="14.25" customHeight="1" thickBot="1">
      <c r="A318" s="840" t="s">
        <v>320</v>
      </c>
      <c r="B318" s="834" t="s">
        <v>539</v>
      </c>
      <c r="C318" s="834">
        <v>1090</v>
      </c>
      <c r="D318" s="834">
        <v>1060</v>
      </c>
      <c r="E318" s="834">
        <v>1040</v>
      </c>
      <c r="F318" s="852"/>
    </row>
    <row r="319" spans="1:6" s="828" customFormat="1" ht="14.25" customHeight="1" thickBot="1">
      <c r="A319" s="840" t="s">
        <v>320</v>
      </c>
      <c r="B319" s="834" t="s">
        <v>540</v>
      </c>
      <c r="C319" s="834">
        <v>1520</v>
      </c>
      <c r="D319" s="834">
        <v>1470</v>
      </c>
      <c r="E319" s="834">
        <v>1440</v>
      </c>
      <c r="F319" s="848">
        <v>370</v>
      </c>
    </row>
    <row r="320" spans="1:6" s="828" customFormat="1" ht="14.25" customHeight="1" thickBot="1">
      <c r="A320" s="840" t="s">
        <v>320</v>
      </c>
      <c r="B320" s="834" t="s">
        <v>222</v>
      </c>
      <c r="C320" s="834">
        <v>1360</v>
      </c>
      <c r="D320" s="834">
        <v>1300</v>
      </c>
      <c r="E320" s="834">
        <v>1270</v>
      </c>
      <c r="F320" s="852"/>
    </row>
    <row r="321" spans="1:6" s="828" customFormat="1" ht="14.25" customHeight="1" thickBot="1">
      <c r="A321" s="840" t="s">
        <v>320</v>
      </c>
      <c r="B321" s="834" t="s">
        <v>234</v>
      </c>
      <c r="C321" s="834">
        <v>1750</v>
      </c>
      <c r="D321" s="834">
        <v>1690</v>
      </c>
      <c r="E321" s="834">
        <v>1660</v>
      </c>
      <c r="F321" s="852"/>
    </row>
    <row r="322" spans="1:6" s="828" customFormat="1" ht="14.25" customHeight="1" thickBot="1">
      <c r="A322" s="840" t="s">
        <v>320</v>
      </c>
      <c r="B322" s="834" t="s">
        <v>245</v>
      </c>
      <c r="C322" s="834">
        <v>1650</v>
      </c>
      <c r="D322" s="834">
        <v>1610</v>
      </c>
      <c r="E322" s="834">
        <v>1580</v>
      </c>
      <c r="F322" s="848">
        <v>500</v>
      </c>
    </row>
    <row r="323" spans="1:6" s="828" customFormat="1" ht="14.25" customHeight="1" thickBot="1">
      <c r="A323" s="840" t="s">
        <v>320</v>
      </c>
      <c r="B323" s="834" t="s">
        <v>256</v>
      </c>
      <c r="C323" s="834">
        <v>1780</v>
      </c>
      <c r="D323" s="834">
        <v>1740</v>
      </c>
      <c r="E323" s="834">
        <v>1720</v>
      </c>
      <c r="F323" s="852"/>
    </row>
    <row r="324" spans="1:6" s="828" customFormat="1" ht="14.25" customHeight="1" thickBot="1">
      <c r="A324" s="840" t="s">
        <v>320</v>
      </c>
      <c r="B324" s="834" t="s">
        <v>267</v>
      </c>
      <c r="C324" s="834">
        <v>1650</v>
      </c>
      <c r="D324" s="834">
        <v>1610</v>
      </c>
      <c r="E324" s="834">
        <v>1580</v>
      </c>
      <c r="F324" s="852"/>
    </row>
    <row r="325" spans="1:6" s="828" customFormat="1" ht="14.25" customHeight="1" thickBot="1">
      <c r="A325" s="840" t="s">
        <v>320</v>
      </c>
      <c r="B325" s="834" t="s">
        <v>279</v>
      </c>
      <c r="C325" s="834">
        <v>1330</v>
      </c>
      <c r="D325" s="834">
        <v>1270</v>
      </c>
      <c r="E325" s="834">
        <v>1240</v>
      </c>
      <c r="F325" s="848">
        <v>430</v>
      </c>
    </row>
    <row r="326" spans="1:6" s="828" customFormat="1" ht="14.25" customHeight="1" thickBot="1">
      <c r="A326" s="840" t="s">
        <v>320</v>
      </c>
      <c r="B326" s="834" t="s">
        <v>289</v>
      </c>
      <c r="C326" s="834">
        <v>1470</v>
      </c>
      <c r="D326" s="834">
        <v>1430</v>
      </c>
      <c r="E326" s="834">
        <v>1400</v>
      </c>
      <c r="F326" s="852"/>
    </row>
    <row r="327" spans="1:6" s="828" customFormat="1" ht="14.25" customHeight="1" thickBot="1">
      <c r="A327" s="840" t="s">
        <v>320</v>
      </c>
      <c r="B327" s="834" t="s">
        <v>299</v>
      </c>
      <c r="C327" s="834">
        <v>1420</v>
      </c>
      <c r="D327" s="834">
        <v>1380</v>
      </c>
      <c r="E327" s="834">
        <v>1360</v>
      </c>
      <c r="F327" s="848">
        <v>420</v>
      </c>
    </row>
    <row r="328" spans="1:6" s="828" customFormat="1" ht="14.25" customHeight="1" thickBot="1">
      <c r="A328" s="840" t="s">
        <v>320</v>
      </c>
      <c r="B328" s="834" t="s">
        <v>309</v>
      </c>
      <c r="C328" s="834">
        <v>1400</v>
      </c>
      <c r="D328" s="834">
        <v>1360</v>
      </c>
      <c r="E328" s="834">
        <v>1330</v>
      </c>
      <c r="F328" s="848">
        <v>460</v>
      </c>
    </row>
    <row r="329" spans="1:6" s="828" customFormat="1" ht="14.25" customHeight="1" thickBot="1">
      <c r="A329" s="840" t="s">
        <v>320</v>
      </c>
      <c r="B329" s="834" t="s">
        <v>319</v>
      </c>
      <c r="C329" s="834">
        <v>1640</v>
      </c>
      <c r="D329" s="834">
        <v>1610</v>
      </c>
      <c r="E329" s="834">
        <v>1580</v>
      </c>
      <c r="F329" s="848">
        <v>410</v>
      </c>
    </row>
    <row r="330" spans="1:6" s="828" customFormat="1" ht="14.25" customHeight="1" thickBot="1">
      <c r="A330" s="840" t="s">
        <v>320</v>
      </c>
      <c r="B330" s="834" t="s">
        <v>330</v>
      </c>
      <c r="C330" s="834">
        <v>1260</v>
      </c>
      <c r="D330" s="834">
        <v>1220</v>
      </c>
      <c r="E330" s="834">
        <v>1200</v>
      </c>
      <c r="F330" s="852"/>
    </row>
    <row r="331" spans="1:6" s="828" customFormat="1" ht="14.25" customHeight="1" thickBot="1">
      <c r="A331" s="840" t="s">
        <v>320</v>
      </c>
      <c r="B331" s="834" t="s">
        <v>341</v>
      </c>
      <c r="C331" s="834">
        <v>1620</v>
      </c>
      <c r="D331" s="834">
        <v>1560</v>
      </c>
      <c r="E331" s="834">
        <v>1530</v>
      </c>
      <c r="F331" s="848">
        <v>490</v>
      </c>
    </row>
    <row r="332" spans="1:6" s="828" customFormat="1" ht="14.25" customHeight="1" thickBot="1">
      <c r="A332" s="840" t="s">
        <v>320</v>
      </c>
      <c r="B332" s="834" t="s">
        <v>351</v>
      </c>
      <c r="C332" s="834">
        <v>1520</v>
      </c>
      <c r="D332" s="834">
        <v>1470</v>
      </c>
      <c r="E332" s="834">
        <v>1440</v>
      </c>
      <c r="F332" s="848">
        <v>440</v>
      </c>
    </row>
    <row r="333" spans="1:6" s="828" customFormat="1" ht="14.25" customHeight="1" thickBot="1">
      <c r="A333" s="840" t="s">
        <v>320</v>
      </c>
      <c r="B333" s="834" t="s">
        <v>361</v>
      </c>
      <c r="C333" s="834">
        <v>1370</v>
      </c>
      <c r="D333" s="834">
        <v>1320</v>
      </c>
      <c r="E333" s="834">
        <v>1300</v>
      </c>
      <c r="F333" s="848">
        <v>460</v>
      </c>
    </row>
    <row r="334" spans="1:6" s="828" customFormat="1" ht="14.25" customHeight="1" thickBot="1">
      <c r="A334" s="840" t="s">
        <v>320</v>
      </c>
      <c r="B334" s="834" t="s">
        <v>371</v>
      </c>
      <c r="C334" s="834">
        <v>1410</v>
      </c>
      <c r="D334" s="834">
        <v>1340</v>
      </c>
      <c r="E334" s="834">
        <v>1310</v>
      </c>
      <c r="F334" s="848">
        <v>410</v>
      </c>
    </row>
    <row r="335" spans="1:6" s="828" customFormat="1" ht="14.25" customHeight="1" thickBot="1">
      <c r="A335" s="840" t="s">
        <v>320</v>
      </c>
      <c r="B335" s="834" t="s">
        <v>381</v>
      </c>
      <c r="C335" s="834">
        <v>1260</v>
      </c>
      <c r="D335" s="834">
        <v>1220</v>
      </c>
      <c r="E335" s="834">
        <v>1200</v>
      </c>
      <c r="F335" s="852"/>
    </row>
    <row r="336" spans="1:6" s="828" customFormat="1" ht="14.25" customHeight="1" thickBot="1">
      <c r="A336" s="840" t="s">
        <v>320</v>
      </c>
      <c r="B336" s="834" t="s">
        <v>390</v>
      </c>
      <c r="C336" s="834">
        <v>1160</v>
      </c>
      <c r="D336" s="834">
        <v>1140</v>
      </c>
      <c r="E336" s="834">
        <v>1120</v>
      </c>
      <c r="F336" s="848">
        <v>430</v>
      </c>
    </row>
    <row r="337" spans="1:6" s="828" customFormat="1" ht="14.25" customHeight="1" thickBot="1">
      <c r="A337" s="840" t="s">
        <v>320</v>
      </c>
      <c r="B337" s="846" t="s">
        <v>399</v>
      </c>
      <c r="C337" s="846"/>
      <c r="D337" s="846"/>
      <c r="E337" s="846"/>
      <c r="F337" s="851">
        <v>380</v>
      </c>
    </row>
    <row r="338" spans="1:6" s="828" customFormat="1" ht="14.25" customHeight="1" thickBot="1">
      <c r="A338" s="840" t="s">
        <v>331</v>
      </c>
      <c r="B338" s="841" t="s">
        <v>541</v>
      </c>
      <c r="C338" s="841">
        <v>880</v>
      </c>
      <c r="D338" s="841">
        <v>850</v>
      </c>
      <c r="E338" s="841">
        <v>830</v>
      </c>
      <c r="F338" s="854"/>
    </row>
    <row r="339" spans="1:6" s="828" customFormat="1" ht="14.25" customHeight="1" thickBot="1">
      <c r="A339" s="840" t="s">
        <v>331</v>
      </c>
      <c r="B339" s="834" t="s">
        <v>542</v>
      </c>
      <c r="C339" s="834">
        <v>830</v>
      </c>
      <c r="D339" s="834">
        <v>800</v>
      </c>
      <c r="E339" s="834">
        <v>780</v>
      </c>
      <c r="F339" s="852"/>
    </row>
    <row r="340" spans="1:6" s="828" customFormat="1" ht="14.25" customHeight="1" thickBot="1">
      <c r="A340" s="840" t="s">
        <v>331</v>
      </c>
      <c r="B340" s="834" t="s">
        <v>543</v>
      </c>
      <c r="C340" s="834">
        <v>980</v>
      </c>
      <c r="D340" s="834">
        <v>950</v>
      </c>
      <c r="E340" s="834">
        <v>920</v>
      </c>
      <c r="F340" s="852"/>
    </row>
    <row r="341" spans="1:6" s="828" customFormat="1" ht="14.25" customHeight="1" thickBot="1">
      <c r="A341" s="840" t="s">
        <v>331</v>
      </c>
      <c r="B341" s="834" t="s">
        <v>544</v>
      </c>
      <c r="C341" s="834">
        <v>760</v>
      </c>
      <c r="D341" s="834">
        <v>720</v>
      </c>
      <c r="E341" s="834">
        <v>690</v>
      </c>
      <c r="F341" s="848">
        <v>350</v>
      </c>
    </row>
    <row r="342" spans="1:6" s="828" customFormat="1" ht="14.25" customHeight="1" thickBot="1">
      <c r="A342" s="840" t="s">
        <v>331</v>
      </c>
      <c r="B342" s="834" t="s">
        <v>235</v>
      </c>
      <c r="C342" s="834">
        <v>910</v>
      </c>
      <c r="D342" s="834">
        <v>870</v>
      </c>
      <c r="E342" s="834">
        <v>850</v>
      </c>
      <c r="F342" s="848">
        <v>370</v>
      </c>
    </row>
    <row r="343" spans="1:6" s="828" customFormat="1" ht="14.25" customHeight="1" thickBot="1">
      <c r="A343" s="840" t="s">
        <v>331</v>
      </c>
      <c r="B343" s="834" t="s">
        <v>246</v>
      </c>
      <c r="C343" s="834">
        <v>800</v>
      </c>
      <c r="D343" s="834">
        <v>760</v>
      </c>
      <c r="E343" s="834">
        <v>730</v>
      </c>
      <c r="F343" s="848">
        <v>340</v>
      </c>
    </row>
    <row r="344" spans="1:6" s="828" customFormat="1" ht="14.25" customHeight="1" thickBot="1">
      <c r="A344" s="840" t="s">
        <v>331</v>
      </c>
      <c r="B344" s="846" t="s">
        <v>257</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3" t="s">
        <v>870</v>
      </c>
      <c r="B1" s="3273"/>
    </row>
    <row r="2" spans="1:6" ht="14.25" thickBot="1">
      <c r="A2" s="1060"/>
      <c r="B2" s="1060"/>
    </row>
    <row r="3" spans="1:6" ht="14.25" thickBot="1">
      <c r="A3" s="1060"/>
      <c r="B3" s="1060"/>
      <c r="C3" s="1064" t="s">
        <v>873</v>
      </c>
      <c r="D3" s="1064" t="s">
        <v>874</v>
      </c>
      <c r="E3" s="1064" t="s">
        <v>875</v>
      </c>
      <c r="F3" s="1064" t="s">
        <v>876</v>
      </c>
    </row>
    <row r="4" spans="1:6" ht="14.25" thickBot="1">
      <c r="A4" s="1062" t="s">
        <v>871</v>
      </c>
      <c r="B4" s="1063" t="s">
        <v>872</v>
      </c>
      <c r="C4" s="1064"/>
      <c r="D4" s="1064"/>
      <c r="E4" s="1064"/>
      <c r="F4" s="1064"/>
    </row>
    <row r="5" spans="1:6" ht="14.25" thickBot="1">
      <c r="A5" s="840" t="s">
        <v>877</v>
      </c>
      <c r="B5" s="841" t="s">
        <v>878</v>
      </c>
      <c r="C5" s="1065">
        <v>8.8999999999999996E-2</v>
      </c>
      <c r="D5" s="1065">
        <v>7.3999999999999996E-2</v>
      </c>
      <c r="E5" s="1065">
        <v>7.4999999999999997E-2</v>
      </c>
      <c r="F5" s="1066">
        <v>0.1</v>
      </c>
    </row>
    <row r="6" spans="1:6" ht="14.25" thickBot="1">
      <c r="A6" s="840" t="s">
        <v>211</v>
      </c>
      <c r="B6" s="834" t="s">
        <v>879</v>
      </c>
      <c r="C6" s="1067">
        <v>0.1</v>
      </c>
      <c r="D6" s="1067">
        <v>9.0999999999999998E-2</v>
      </c>
      <c r="E6" s="1067">
        <v>9.0999999999999998E-2</v>
      </c>
      <c r="F6" s="1068">
        <v>0.1</v>
      </c>
    </row>
    <row r="7" spans="1:6" ht="14.25" thickBot="1">
      <c r="A7" s="840" t="s">
        <v>211</v>
      </c>
      <c r="B7" s="844" t="s">
        <v>200</v>
      </c>
      <c r="C7" s="1067">
        <v>8.5999999999999993E-2</v>
      </c>
      <c r="D7" s="1067">
        <v>9.6000000000000002E-2</v>
      </c>
      <c r="E7" s="1067">
        <v>7.5999999999999998E-2</v>
      </c>
      <c r="F7" s="1068">
        <v>0.1</v>
      </c>
    </row>
    <row r="8" spans="1:6" ht="14.25" thickBot="1">
      <c r="A8" s="840" t="s">
        <v>211</v>
      </c>
      <c r="B8" s="834" t="s">
        <v>212</v>
      </c>
      <c r="C8" s="1067">
        <v>9.9000000000000005E-2</v>
      </c>
      <c r="D8" s="1067">
        <v>9.8000000000000004E-2</v>
      </c>
      <c r="E8" s="1067">
        <v>9.8000000000000004E-2</v>
      </c>
      <c r="F8" s="1068">
        <v>0.1</v>
      </c>
    </row>
    <row r="9" spans="1:6" ht="14.25" thickBot="1">
      <c r="A9" s="850" t="s">
        <v>211</v>
      </c>
      <c r="B9" s="845" t="s">
        <v>224</v>
      </c>
      <c r="C9" s="1069">
        <v>0.05</v>
      </c>
      <c r="D9" s="1077"/>
      <c r="E9" s="1077"/>
      <c r="F9" s="1078"/>
    </row>
    <row r="10" spans="1:6" ht="14.25" thickBot="1">
      <c r="A10" s="840" t="s">
        <v>268</v>
      </c>
      <c r="B10" s="841" t="s">
        <v>880</v>
      </c>
      <c r="C10" s="1065">
        <v>8.8999999999999996E-2</v>
      </c>
      <c r="D10" s="1065">
        <v>7.2999999999999995E-2</v>
      </c>
      <c r="E10" s="1065">
        <v>8.2000000000000003E-2</v>
      </c>
      <c r="F10" s="1066">
        <v>0.1</v>
      </c>
    </row>
    <row r="11" spans="1:6" ht="14.25" thickBot="1">
      <c r="A11" s="840" t="s">
        <v>268</v>
      </c>
      <c r="B11" s="844" t="s">
        <v>187</v>
      </c>
      <c r="C11" s="1067">
        <v>8.8999999999999996E-2</v>
      </c>
      <c r="D11" s="1067">
        <v>7.2999999999999995E-2</v>
      </c>
      <c r="E11" s="1067">
        <v>8.2000000000000003E-2</v>
      </c>
      <c r="F11" s="1068">
        <v>0.1</v>
      </c>
    </row>
    <row r="12" spans="1:6" ht="14.25" thickBot="1">
      <c r="A12" s="840" t="s">
        <v>268</v>
      </c>
      <c r="B12" s="844" t="s">
        <v>137</v>
      </c>
      <c r="C12" s="1067">
        <v>6.0999999999999999E-2</v>
      </c>
      <c r="D12" s="1067">
        <v>7.0999999999999994E-2</v>
      </c>
      <c r="E12" s="1067">
        <v>9.6000000000000002E-2</v>
      </c>
      <c r="F12" s="1068">
        <v>0.1</v>
      </c>
    </row>
    <row r="13" spans="1:6" ht="14.25" thickBot="1">
      <c r="A13" s="840" t="s">
        <v>268</v>
      </c>
      <c r="B13" s="844" t="s">
        <v>213</v>
      </c>
      <c r="C13" s="1067">
        <v>6.9000000000000006E-2</v>
      </c>
      <c r="D13" s="1067">
        <v>6.5000000000000002E-2</v>
      </c>
      <c r="E13" s="1067">
        <v>6.6000000000000003E-2</v>
      </c>
      <c r="F13" s="1068">
        <v>0.1</v>
      </c>
    </row>
    <row r="14" spans="1:6" ht="14.25" thickBot="1">
      <c r="A14" s="840" t="s">
        <v>268</v>
      </c>
      <c r="B14" s="844" t="s">
        <v>225</v>
      </c>
      <c r="C14" s="1067">
        <v>0.1</v>
      </c>
      <c r="D14" s="1067">
        <v>6.5000000000000002E-2</v>
      </c>
      <c r="E14" s="1067">
        <v>7.0000000000000007E-2</v>
      </c>
      <c r="F14" s="1068">
        <v>0.1</v>
      </c>
    </row>
    <row r="15" spans="1:6" ht="14.25" thickBot="1">
      <c r="A15" s="840" t="s">
        <v>268</v>
      </c>
      <c r="B15" s="844" t="s">
        <v>236</v>
      </c>
      <c r="C15" s="1067">
        <v>9.8000000000000004E-2</v>
      </c>
      <c r="D15" s="1067">
        <v>8.8999999999999996E-2</v>
      </c>
      <c r="E15" s="1067">
        <v>8.8999999999999996E-2</v>
      </c>
      <c r="F15" s="1068">
        <v>0.1</v>
      </c>
    </row>
    <row r="16" spans="1:6" ht="14.25" thickBot="1">
      <c r="A16" s="840" t="s">
        <v>268</v>
      </c>
      <c r="B16" s="844" t="s">
        <v>247</v>
      </c>
      <c r="C16" s="1067">
        <v>7.0000000000000007E-2</v>
      </c>
      <c r="D16" s="1067">
        <v>9.2999999999999999E-2</v>
      </c>
      <c r="E16" s="1067">
        <v>9.6000000000000002E-2</v>
      </c>
      <c r="F16" s="1068">
        <v>0.1</v>
      </c>
    </row>
    <row r="17" spans="1:6" ht="14.25" thickBot="1">
      <c r="A17" s="840" t="s">
        <v>268</v>
      </c>
      <c r="B17" s="844" t="s">
        <v>258</v>
      </c>
      <c r="C17" s="1067">
        <v>9.5000000000000001E-2</v>
      </c>
      <c r="D17" s="1067">
        <v>0.1</v>
      </c>
      <c r="E17" s="1067">
        <v>0.1</v>
      </c>
      <c r="F17" s="1079"/>
    </row>
    <row r="18" spans="1:6" ht="14.25" thickBot="1">
      <c r="A18" s="840" t="s">
        <v>268</v>
      </c>
      <c r="B18" s="844" t="s">
        <v>270</v>
      </c>
      <c r="C18" s="1067">
        <v>7.3999999999999996E-2</v>
      </c>
      <c r="D18" s="1067">
        <v>9.9000000000000005E-2</v>
      </c>
      <c r="E18" s="1067">
        <v>0.1</v>
      </c>
      <c r="F18" s="1079"/>
    </row>
    <row r="19" spans="1:6" ht="14.25" thickBot="1">
      <c r="A19" s="840" t="s">
        <v>268</v>
      </c>
      <c r="B19" s="844" t="s">
        <v>280</v>
      </c>
      <c r="C19" s="1067">
        <v>9.9000000000000005E-2</v>
      </c>
      <c r="D19" s="1067">
        <v>7.5999999999999998E-2</v>
      </c>
      <c r="E19" s="1067">
        <v>8.6999999999999994E-2</v>
      </c>
      <c r="F19" s="1079"/>
    </row>
    <row r="20" spans="1:6" ht="14.25" thickBot="1">
      <c r="A20" s="840" t="s">
        <v>268</v>
      </c>
      <c r="B20" s="844" t="s">
        <v>290</v>
      </c>
      <c r="C20" s="1067">
        <v>9.8000000000000004E-2</v>
      </c>
      <c r="D20" s="1067">
        <v>8.5000000000000006E-2</v>
      </c>
      <c r="E20" s="1067">
        <v>8.2000000000000003E-2</v>
      </c>
      <c r="F20" s="1079"/>
    </row>
    <row r="21" spans="1:6" ht="14.25" thickBot="1">
      <c r="A21" s="840" t="s">
        <v>268</v>
      </c>
      <c r="B21" s="844" t="s">
        <v>300</v>
      </c>
      <c r="C21" s="1067">
        <v>6.6000000000000003E-2</v>
      </c>
      <c r="D21" s="1067">
        <v>6.4000000000000001E-2</v>
      </c>
      <c r="E21" s="1067">
        <v>6.5000000000000002E-2</v>
      </c>
      <c r="F21" s="1079"/>
    </row>
    <row r="22" spans="1:6" ht="14.25" thickBot="1">
      <c r="A22" s="840" t="s">
        <v>268</v>
      </c>
      <c r="B22" s="844" t="s">
        <v>881</v>
      </c>
      <c r="C22" s="1067">
        <v>0.08</v>
      </c>
      <c r="D22" s="1067">
        <v>9.8000000000000004E-2</v>
      </c>
      <c r="E22" s="1067">
        <v>9.8000000000000004E-2</v>
      </c>
      <c r="F22" s="1079"/>
    </row>
    <row r="23" spans="1:6" ht="14.25" thickBot="1">
      <c r="A23" s="840" t="s">
        <v>268</v>
      </c>
      <c r="B23" s="844" t="s">
        <v>321</v>
      </c>
      <c r="C23" s="1067">
        <v>9.9000000000000005E-2</v>
      </c>
      <c r="D23" s="1067">
        <v>9.8000000000000004E-2</v>
      </c>
      <c r="E23" s="1067">
        <v>9.0999999999999998E-2</v>
      </c>
      <c r="F23" s="1079"/>
    </row>
    <row r="24" spans="1:6" ht="14.25" thickBot="1">
      <c r="A24" s="840" t="s">
        <v>268</v>
      </c>
      <c r="B24" s="844" t="s">
        <v>332</v>
      </c>
      <c r="C24" s="1067">
        <v>8.8999999999999996E-2</v>
      </c>
      <c r="D24" s="1067">
        <v>9.7000000000000003E-2</v>
      </c>
      <c r="E24" s="1067">
        <v>7.0000000000000007E-2</v>
      </c>
      <c r="F24" s="1079"/>
    </row>
    <row r="25" spans="1:6" ht="14.25" thickBot="1">
      <c r="A25" s="840" t="s">
        <v>268</v>
      </c>
      <c r="B25" s="844" t="s">
        <v>342</v>
      </c>
      <c r="C25" s="1067">
        <v>8.8999999999999996E-2</v>
      </c>
      <c r="D25" s="1067">
        <v>0.1</v>
      </c>
      <c r="E25" s="1067">
        <v>8.1000000000000003E-2</v>
      </c>
      <c r="F25" s="1079"/>
    </row>
    <row r="26" spans="1:6" ht="14.25" thickBot="1">
      <c r="A26" s="840" t="s">
        <v>268</v>
      </c>
      <c r="B26" s="844" t="s">
        <v>352</v>
      </c>
      <c r="C26" s="1080"/>
      <c r="D26" s="1067">
        <v>9.6000000000000002E-2</v>
      </c>
      <c r="E26" s="1067">
        <v>9.2999999999999999E-2</v>
      </c>
      <c r="F26" s="1079"/>
    </row>
    <row r="27" spans="1:6" ht="14.25" thickBot="1">
      <c r="A27" s="840" t="s">
        <v>268</v>
      </c>
      <c r="B27" s="844" t="s">
        <v>362</v>
      </c>
      <c r="C27" s="1080"/>
      <c r="D27" s="1067">
        <v>7.5999999999999998E-2</v>
      </c>
      <c r="E27" s="1067">
        <v>9.1999999999999998E-2</v>
      </c>
      <c r="F27" s="1079"/>
    </row>
    <row r="28" spans="1:6" ht="14.25" thickBot="1">
      <c r="A28" s="850" t="s">
        <v>268</v>
      </c>
      <c r="B28" s="845" t="s">
        <v>372</v>
      </c>
      <c r="C28" s="1077"/>
      <c r="D28" s="1069">
        <v>7.5999999999999998E-2</v>
      </c>
      <c r="E28" s="1069">
        <v>9.1999999999999998E-2</v>
      </c>
      <c r="F28" s="1078"/>
    </row>
    <row r="29" spans="1:6" ht="14.25" thickBot="1">
      <c r="A29" s="840" t="s">
        <v>441</v>
      </c>
      <c r="B29" s="841" t="s">
        <v>882</v>
      </c>
      <c r="C29" s="1065">
        <v>6.4000000000000001E-2</v>
      </c>
      <c r="D29" s="1065">
        <v>6.5000000000000002E-2</v>
      </c>
      <c r="E29" s="1065">
        <v>6.9000000000000006E-2</v>
      </c>
      <c r="F29" s="1066">
        <v>0.1</v>
      </c>
    </row>
    <row r="30" spans="1:6" ht="14.25" thickBot="1">
      <c r="A30" s="840" t="s">
        <v>441</v>
      </c>
      <c r="B30" s="844" t="s">
        <v>188</v>
      </c>
      <c r="C30" s="1067">
        <v>6.4000000000000001E-2</v>
      </c>
      <c r="D30" s="1067">
        <v>9.9000000000000005E-2</v>
      </c>
      <c r="E30" s="1067">
        <v>0.1</v>
      </c>
      <c r="F30" s="1068">
        <v>0.1</v>
      </c>
    </row>
    <row r="31" spans="1:6" ht="14.25" thickBot="1">
      <c r="A31" s="840" t="s">
        <v>441</v>
      </c>
      <c r="B31" s="844" t="s">
        <v>201</v>
      </c>
      <c r="C31" s="1067">
        <v>0.1</v>
      </c>
      <c r="D31" s="1067">
        <v>9.5000000000000001E-2</v>
      </c>
      <c r="E31" s="1067">
        <v>8.8999999999999996E-2</v>
      </c>
      <c r="F31" s="1068">
        <v>0.1</v>
      </c>
    </row>
    <row r="32" spans="1:6" ht="14.25" thickBot="1">
      <c r="A32" s="840" t="s">
        <v>441</v>
      </c>
      <c r="B32" s="844" t="s">
        <v>214</v>
      </c>
      <c r="C32" s="1067">
        <v>0.05</v>
      </c>
      <c r="D32" s="1067">
        <v>0.05</v>
      </c>
      <c r="E32" s="1067">
        <v>8.7999999999999995E-2</v>
      </c>
      <c r="F32" s="1068">
        <v>0.1</v>
      </c>
    </row>
    <row r="33" spans="1:6" ht="14.25" thickBot="1">
      <c r="A33" s="840" t="s">
        <v>441</v>
      </c>
      <c r="B33" s="844" t="s">
        <v>226</v>
      </c>
      <c r="C33" s="1067">
        <v>7.4999999999999997E-2</v>
      </c>
      <c r="D33" s="1067">
        <v>9.4E-2</v>
      </c>
      <c r="E33" s="1067">
        <v>9.7000000000000003E-2</v>
      </c>
      <c r="F33" s="1068">
        <v>0.1</v>
      </c>
    </row>
    <row r="34" spans="1:6" ht="14.25" thickBot="1">
      <c r="A34" s="840" t="s">
        <v>441</v>
      </c>
      <c r="B34" s="844" t="s">
        <v>237</v>
      </c>
      <c r="C34" s="1067">
        <v>9.8000000000000004E-2</v>
      </c>
      <c r="D34" s="1067">
        <v>8.5999999999999993E-2</v>
      </c>
      <c r="E34" s="1067">
        <v>9.7000000000000003E-2</v>
      </c>
      <c r="F34" s="1068">
        <v>0.1</v>
      </c>
    </row>
    <row r="35" spans="1:6" ht="14.25" thickBot="1">
      <c r="A35" s="840" t="s">
        <v>441</v>
      </c>
      <c r="B35" s="844" t="s">
        <v>248</v>
      </c>
      <c r="C35" s="1067">
        <v>5.8999999999999997E-2</v>
      </c>
      <c r="D35" s="1067">
        <v>6.5000000000000002E-2</v>
      </c>
      <c r="E35" s="1067">
        <v>7.0000000000000007E-2</v>
      </c>
      <c r="F35" s="1068">
        <v>0.1</v>
      </c>
    </row>
    <row r="36" spans="1:6" ht="14.25" thickBot="1">
      <c r="A36" s="840" t="s">
        <v>441</v>
      </c>
      <c r="B36" s="844" t="s">
        <v>259</v>
      </c>
      <c r="C36" s="1067">
        <v>6.3E-2</v>
      </c>
      <c r="D36" s="1067">
        <v>0.1</v>
      </c>
      <c r="E36" s="1067">
        <v>0.1</v>
      </c>
      <c r="F36" s="1068">
        <v>0.1</v>
      </c>
    </row>
    <row r="37" spans="1:6" ht="14.25" thickBot="1">
      <c r="A37" s="840" t="s">
        <v>441</v>
      </c>
      <c r="B37" s="844" t="s">
        <v>271</v>
      </c>
      <c r="C37" s="1067">
        <v>7.3999999999999996E-2</v>
      </c>
      <c r="D37" s="1067">
        <v>0.1</v>
      </c>
      <c r="E37" s="1067">
        <v>0.1</v>
      </c>
      <c r="F37" s="1068">
        <v>0.1</v>
      </c>
    </row>
    <row r="38" spans="1:6" ht="14.25" thickBot="1">
      <c r="A38" s="840" t="s">
        <v>441</v>
      </c>
      <c r="B38" s="844" t="s">
        <v>281</v>
      </c>
      <c r="C38" s="1067">
        <v>0.1</v>
      </c>
      <c r="D38" s="1067">
        <v>9.6000000000000002E-2</v>
      </c>
      <c r="E38" s="1067">
        <v>9.6000000000000002E-2</v>
      </c>
      <c r="F38" s="1079"/>
    </row>
    <row r="39" spans="1:6" ht="14.25" thickBot="1">
      <c r="A39" s="840" t="s">
        <v>441</v>
      </c>
      <c r="B39" s="844" t="s">
        <v>291</v>
      </c>
      <c r="C39" s="1067">
        <v>0.1</v>
      </c>
      <c r="D39" s="1067">
        <v>9.6000000000000002E-2</v>
      </c>
      <c r="E39" s="1067">
        <v>9.6000000000000002E-2</v>
      </c>
      <c r="F39" s="1079"/>
    </row>
    <row r="40" spans="1:6" ht="14.25" thickBot="1">
      <c r="A40" s="840" t="s">
        <v>441</v>
      </c>
      <c r="B40" s="844" t="s">
        <v>301</v>
      </c>
      <c r="C40" s="1067">
        <v>9.6000000000000002E-2</v>
      </c>
      <c r="D40" s="1067">
        <v>0.1</v>
      </c>
      <c r="E40" s="1067">
        <v>9.9000000000000005E-2</v>
      </c>
      <c r="F40" s="1079"/>
    </row>
    <row r="41" spans="1:6" ht="14.25" thickBot="1">
      <c r="A41" s="840" t="s">
        <v>441</v>
      </c>
      <c r="B41" s="844" t="s">
        <v>311</v>
      </c>
      <c r="C41" s="1067">
        <v>9.6000000000000002E-2</v>
      </c>
      <c r="D41" s="1067">
        <v>9.8000000000000004E-2</v>
      </c>
      <c r="E41" s="1067">
        <v>9.8000000000000004E-2</v>
      </c>
      <c r="F41" s="1079"/>
    </row>
    <row r="42" spans="1:6" ht="14.25" thickBot="1">
      <c r="A42" s="840" t="s">
        <v>441</v>
      </c>
      <c r="B42" s="844" t="s">
        <v>322</v>
      </c>
      <c r="C42" s="1067">
        <v>0.1</v>
      </c>
      <c r="D42" s="1067">
        <v>8.7999999999999995E-2</v>
      </c>
      <c r="E42" s="1067">
        <v>0.1</v>
      </c>
      <c r="F42" s="1079"/>
    </row>
    <row r="43" spans="1:6" ht="14.25" thickBot="1">
      <c r="A43" s="840" t="s">
        <v>441</v>
      </c>
      <c r="B43" s="844" t="s">
        <v>333</v>
      </c>
      <c r="C43" s="1067">
        <v>9.8000000000000004E-2</v>
      </c>
      <c r="D43" s="1067">
        <v>9.7000000000000003E-2</v>
      </c>
      <c r="E43" s="1067">
        <v>9.6000000000000002E-2</v>
      </c>
      <c r="F43" s="1079"/>
    </row>
    <row r="44" spans="1:6" ht="14.25" thickBot="1">
      <c r="A44" s="840" t="s">
        <v>441</v>
      </c>
      <c r="B44" s="844" t="s">
        <v>343</v>
      </c>
      <c r="C44" s="1067">
        <v>8.5999999999999993E-2</v>
      </c>
      <c r="D44" s="1067">
        <v>7.9000000000000001E-2</v>
      </c>
      <c r="E44" s="1067">
        <v>7.0999999999999994E-2</v>
      </c>
      <c r="F44" s="1079"/>
    </row>
    <row r="45" spans="1:6" ht="14.25" thickBot="1">
      <c r="A45" s="840" t="s">
        <v>441</v>
      </c>
      <c r="B45" s="844" t="s">
        <v>353</v>
      </c>
      <c r="C45" s="1067">
        <v>9.8000000000000004E-2</v>
      </c>
      <c r="D45" s="1067">
        <v>9.6000000000000002E-2</v>
      </c>
      <c r="E45" s="1067">
        <v>9.6000000000000002E-2</v>
      </c>
      <c r="F45" s="1079"/>
    </row>
    <row r="46" spans="1:6" ht="14.25" thickBot="1">
      <c r="A46" s="840" t="s">
        <v>441</v>
      </c>
      <c r="B46" s="844" t="s">
        <v>363</v>
      </c>
      <c r="C46" s="1067">
        <v>8.5999999999999993E-2</v>
      </c>
      <c r="D46" s="1067">
        <v>9.8000000000000004E-2</v>
      </c>
      <c r="E46" s="1067">
        <v>8.7999999999999995E-2</v>
      </c>
      <c r="F46" s="1079"/>
    </row>
    <row r="47" spans="1:6" ht="14.25" thickBot="1">
      <c r="A47" s="840" t="s">
        <v>441</v>
      </c>
      <c r="B47" s="844" t="s">
        <v>373</v>
      </c>
      <c r="C47" s="1067">
        <v>9.6000000000000002E-2</v>
      </c>
      <c r="D47" s="1080"/>
      <c r="E47" s="1067">
        <v>6.9000000000000006E-2</v>
      </c>
      <c r="F47" s="1079"/>
    </row>
    <row r="48" spans="1:6" ht="14.25" thickBot="1">
      <c r="A48" s="850" t="s">
        <v>441</v>
      </c>
      <c r="B48" s="845" t="s">
        <v>382</v>
      </c>
      <c r="C48" s="1069">
        <v>9.8000000000000004E-2</v>
      </c>
      <c r="D48" s="1077"/>
      <c r="E48" s="1069">
        <v>9.5000000000000001E-2</v>
      </c>
      <c r="F48" s="1078"/>
    </row>
    <row r="49" spans="1:6" ht="14.25" thickBot="1">
      <c r="A49" s="840" t="s">
        <v>136</v>
      </c>
      <c r="B49" s="841" t="s">
        <v>883</v>
      </c>
      <c r="C49" s="1065">
        <v>9.7000000000000003E-2</v>
      </c>
      <c r="D49" s="1065">
        <v>9.5000000000000001E-2</v>
      </c>
      <c r="E49" s="1065">
        <v>9.7000000000000003E-2</v>
      </c>
      <c r="F49" s="1066">
        <v>0.1</v>
      </c>
    </row>
    <row r="50" spans="1:6" ht="14.25" thickBot="1">
      <c r="A50" s="840" t="s">
        <v>136</v>
      </c>
      <c r="B50" s="834" t="s">
        <v>189</v>
      </c>
      <c r="C50" s="1067">
        <v>7.4999999999999997E-2</v>
      </c>
      <c r="D50" s="1067">
        <v>9.5000000000000001E-2</v>
      </c>
      <c r="E50" s="1067">
        <v>0.1</v>
      </c>
      <c r="F50" s="1068">
        <v>0.1</v>
      </c>
    </row>
    <row r="51" spans="1:6" ht="14.25" thickBot="1">
      <c r="A51" s="840" t="s">
        <v>136</v>
      </c>
      <c r="B51" s="834" t="s">
        <v>202</v>
      </c>
      <c r="C51" s="1067">
        <v>9.8000000000000004E-2</v>
      </c>
      <c r="D51" s="1067">
        <v>8.8999999999999996E-2</v>
      </c>
      <c r="E51" s="1067">
        <v>0.1</v>
      </c>
      <c r="F51" s="1068">
        <v>0.1</v>
      </c>
    </row>
    <row r="52" spans="1:6" ht="14.25" thickBot="1">
      <c r="A52" s="840" t="s">
        <v>136</v>
      </c>
      <c r="B52" s="834" t="s">
        <v>215</v>
      </c>
      <c r="C52" s="1067">
        <v>9.8000000000000004E-2</v>
      </c>
      <c r="D52" s="1067">
        <v>9.7000000000000003E-2</v>
      </c>
      <c r="E52" s="1067">
        <v>8.1000000000000003E-2</v>
      </c>
      <c r="F52" s="1068">
        <v>0.1</v>
      </c>
    </row>
    <row r="53" spans="1:6" ht="14.25" thickBot="1">
      <c r="A53" s="840" t="s">
        <v>136</v>
      </c>
      <c r="B53" s="834" t="s">
        <v>227</v>
      </c>
      <c r="C53" s="1067">
        <v>9.7000000000000003E-2</v>
      </c>
      <c r="D53" s="1067">
        <v>7.5999999999999998E-2</v>
      </c>
      <c r="E53" s="1067">
        <v>7.0999999999999994E-2</v>
      </c>
      <c r="F53" s="1068">
        <v>0.1</v>
      </c>
    </row>
    <row r="54" spans="1:6" ht="14.25" thickBot="1">
      <c r="A54" s="840" t="s">
        <v>136</v>
      </c>
      <c r="B54" s="834" t="s">
        <v>238</v>
      </c>
      <c r="C54" s="1067">
        <v>7.5999999999999998E-2</v>
      </c>
      <c r="D54" s="1067">
        <v>0.1</v>
      </c>
      <c r="E54" s="1067">
        <v>9.9000000000000005E-2</v>
      </c>
      <c r="F54" s="1068">
        <v>0.1</v>
      </c>
    </row>
    <row r="55" spans="1:6" ht="14.25" thickBot="1">
      <c r="A55" s="840" t="s">
        <v>136</v>
      </c>
      <c r="B55" s="834" t="s">
        <v>249</v>
      </c>
      <c r="C55" s="1067">
        <v>0.1</v>
      </c>
      <c r="D55" s="1067">
        <v>0.1</v>
      </c>
      <c r="E55" s="1067">
        <v>9.6000000000000002E-2</v>
      </c>
      <c r="F55" s="1068">
        <v>0.1</v>
      </c>
    </row>
    <row r="56" spans="1:6" ht="14.25" thickBot="1">
      <c r="A56" s="840" t="s">
        <v>136</v>
      </c>
      <c r="B56" s="834" t="s">
        <v>260</v>
      </c>
      <c r="C56" s="1067">
        <v>0.1</v>
      </c>
      <c r="D56" s="1067">
        <v>9.6000000000000002E-2</v>
      </c>
      <c r="E56" s="1067">
        <v>5.1999999999999998E-2</v>
      </c>
      <c r="F56" s="1068">
        <v>0.1</v>
      </c>
    </row>
    <row r="57" spans="1:6" ht="14.25" thickBot="1">
      <c r="A57" s="840" t="s">
        <v>136</v>
      </c>
      <c r="B57" s="834" t="s">
        <v>272</v>
      </c>
      <c r="C57" s="1067">
        <v>9.7000000000000003E-2</v>
      </c>
      <c r="D57" s="1067">
        <v>9.6000000000000002E-2</v>
      </c>
      <c r="E57" s="1067">
        <v>9.6000000000000002E-2</v>
      </c>
      <c r="F57" s="1068">
        <v>0.1</v>
      </c>
    </row>
    <row r="58" spans="1:6" ht="14.25" thickBot="1">
      <c r="A58" s="840" t="s">
        <v>136</v>
      </c>
      <c r="B58" s="834" t="s">
        <v>282</v>
      </c>
      <c r="C58" s="1067">
        <v>9.6000000000000002E-2</v>
      </c>
      <c r="D58" s="1067">
        <v>9.9000000000000005E-2</v>
      </c>
      <c r="E58" s="1067">
        <v>9.6000000000000002E-2</v>
      </c>
      <c r="F58" s="1068">
        <v>0.1</v>
      </c>
    </row>
    <row r="59" spans="1:6" ht="14.25" thickBot="1">
      <c r="A59" s="840" t="s">
        <v>136</v>
      </c>
      <c r="B59" s="834" t="s">
        <v>292</v>
      </c>
      <c r="C59" s="1067">
        <v>7.1999999999999995E-2</v>
      </c>
      <c r="D59" s="1067">
        <v>9.6000000000000002E-2</v>
      </c>
      <c r="E59" s="1067">
        <v>7.0999999999999994E-2</v>
      </c>
      <c r="F59" s="1068">
        <v>0.1</v>
      </c>
    </row>
    <row r="60" spans="1:6" ht="14.25" thickBot="1">
      <c r="A60" s="840" t="s">
        <v>136</v>
      </c>
      <c r="B60" s="834" t="s">
        <v>302</v>
      </c>
      <c r="C60" s="1067">
        <v>9.6000000000000002E-2</v>
      </c>
      <c r="D60" s="1067">
        <v>8.8999999999999996E-2</v>
      </c>
      <c r="E60" s="1067">
        <v>9.6000000000000002E-2</v>
      </c>
      <c r="F60" s="1068">
        <v>0.1</v>
      </c>
    </row>
    <row r="61" spans="1:6" ht="14.25" thickBot="1">
      <c r="A61" s="840" t="s">
        <v>136</v>
      </c>
      <c r="B61" s="834" t="s">
        <v>312</v>
      </c>
      <c r="C61" s="1067">
        <v>8.8999999999999996E-2</v>
      </c>
      <c r="D61" s="1067">
        <v>9.8000000000000004E-2</v>
      </c>
      <c r="E61" s="1067">
        <v>8.7999999999999995E-2</v>
      </c>
      <c r="F61" s="1079"/>
    </row>
    <row r="62" spans="1:6" ht="14.25" thickBot="1">
      <c r="A62" s="840" t="s">
        <v>136</v>
      </c>
      <c r="B62" s="834" t="s">
        <v>323</v>
      </c>
      <c r="C62" s="1067">
        <v>9.8000000000000004E-2</v>
      </c>
      <c r="D62" s="1067">
        <v>9.2999999999999999E-2</v>
      </c>
      <c r="E62" s="1067">
        <v>9.7000000000000003E-2</v>
      </c>
      <c r="F62" s="1079"/>
    </row>
    <row r="63" spans="1:6" ht="14.25" thickBot="1">
      <c r="A63" s="840" t="s">
        <v>136</v>
      </c>
      <c r="B63" s="834" t="s">
        <v>334</v>
      </c>
      <c r="C63" s="1067">
        <v>9.6000000000000002E-2</v>
      </c>
      <c r="D63" s="1067">
        <v>9.8000000000000004E-2</v>
      </c>
      <c r="E63" s="1067">
        <v>0.09</v>
      </c>
      <c r="F63" s="1079"/>
    </row>
    <row r="64" spans="1:6" ht="14.25" thickBot="1">
      <c r="A64" s="840" t="s">
        <v>136</v>
      </c>
      <c r="B64" s="834" t="s">
        <v>344</v>
      </c>
      <c r="C64" s="1067">
        <v>9.9000000000000005E-2</v>
      </c>
      <c r="D64" s="1067">
        <v>9.7000000000000003E-2</v>
      </c>
      <c r="E64" s="1067">
        <v>9.9000000000000005E-2</v>
      </c>
      <c r="F64" s="1079"/>
    </row>
    <row r="65" spans="1:6" ht="14.25" thickBot="1">
      <c r="A65" s="840" t="s">
        <v>136</v>
      </c>
      <c r="B65" s="834" t="s">
        <v>354</v>
      </c>
      <c r="C65" s="1067">
        <v>9.8000000000000004E-2</v>
      </c>
      <c r="D65" s="1067">
        <v>9.6000000000000002E-2</v>
      </c>
      <c r="E65" s="1067">
        <v>9.6000000000000002E-2</v>
      </c>
      <c r="F65" s="1079"/>
    </row>
    <row r="66" spans="1:6" ht="14.25" thickBot="1">
      <c r="A66" s="840" t="s">
        <v>136</v>
      </c>
      <c r="B66" s="834" t="s">
        <v>364</v>
      </c>
      <c r="C66" s="1067">
        <v>9.6000000000000002E-2</v>
      </c>
      <c r="D66" s="1067">
        <v>9.1999999999999998E-2</v>
      </c>
      <c r="E66" s="1067">
        <v>9.6000000000000002E-2</v>
      </c>
      <c r="F66" s="1079"/>
    </row>
    <row r="67" spans="1:6" ht="14.25" thickBot="1">
      <c r="A67" s="840" t="s">
        <v>136</v>
      </c>
      <c r="B67" s="834" t="s">
        <v>374</v>
      </c>
      <c r="C67" s="1067">
        <v>9.4E-2</v>
      </c>
      <c r="D67" s="1067">
        <v>0.1</v>
      </c>
      <c r="E67" s="1067">
        <v>8.7999999999999995E-2</v>
      </c>
      <c r="F67" s="1079"/>
    </row>
    <row r="68" spans="1:6" ht="14.25" thickBot="1">
      <c r="A68" s="840" t="s">
        <v>136</v>
      </c>
      <c r="B68" s="834" t="s">
        <v>383</v>
      </c>
      <c r="C68" s="1067">
        <v>0.1</v>
      </c>
      <c r="D68" s="1067">
        <v>8.7999999999999995E-2</v>
      </c>
      <c r="E68" s="1067">
        <v>9.7000000000000003E-2</v>
      </c>
      <c r="F68" s="1079"/>
    </row>
    <row r="69" spans="1:6" ht="14.25" thickBot="1">
      <c r="A69" s="840" t="s">
        <v>136</v>
      </c>
      <c r="B69" s="834" t="s">
        <v>392</v>
      </c>
      <c r="C69" s="1067">
        <v>6.4000000000000001E-2</v>
      </c>
      <c r="D69" s="1067">
        <v>0.1</v>
      </c>
      <c r="E69" s="1067">
        <v>0.1</v>
      </c>
      <c r="F69" s="1079"/>
    </row>
    <row r="70" spans="1:6" ht="14.25" thickBot="1">
      <c r="A70" s="840" t="s">
        <v>136</v>
      </c>
      <c r="B70" s="834" t="s">
        <v>400</v>
      </c>
      <c r="C70" s="1067">
        <v>9.0999999999999998E-2</v>
      </c>
      <c r="D70" s="1080"/>
      <c r="E70" s="1080"/>
      <c r="F70" s="1079"/>
    </row>
    <row r="71" spans="1:6" ht="14.25" thickBot="1">
      <c r="A71" s="840" t="s">
        <v>136</v>
      </c>
      <c r="B71" s="834" t="s">
        <v>407</v>
      </c>
      <c r="C71" s="1067">
        <v>0.1</v>
      </c>
      <c r="D71" s="1080"/>
      <c r="E71" s="1080"/>
      <c r="F71" s="1079"/>
    </row>
    <row r="72" spans="1:6" ht="14.25" thickBot="1">
      <c r="A72" s="840" t="s">
        <v>136</v>
      </c>
      <c r="B72" s="834" t="s">
        <v>884</v>
      </c>
      <c r="C72" s="1080"/>
      <c r="D72" s="1080"/>
      <c r="E72" s="1080"/>
      <c r="F72" s="1068">
        <v>0.05</v>
      </c>
    </row>
    <row r="73" spans="1:6" ht="14.25" thickBot="1">
      <c r="A73" s="840" t="s">
        <v>136</v>
      </c>
      <c r="B73" s="834" t="s">
        <v>885</v>
      </c>
      <c r="C73" s="1080"/>
      <c r="D73" s="1080"/>
      <c r="E73" s="1080"/>
      <c r="F73" s="1068">
        <v>0.05</v>
      </c>
    </row>
    <row r="74" spans="1:6" ht="14.25" thickBot="1">
      <c r="A74" s="840" t="s">
        <v>136</v>
      </c>
      <c r="B74" s="834" t="s">
        <v>886</v>
      </c>
      <c r="C74" s="1080"/>
      <c r="D74" s="1080"/>
      <c r="E74" s="1080"/>
      <c r="F74" s="1068">
        <v>0.05</v>
      </c>
    </row>
    <row r="75" spans="1:6" ht="14.25" thickBot="1">
      <c r="A75" s="850" t="s">
        <v>136</v>
      </c>
      <c r="B75" s="846" t="s">
        <v>887</v>
      </c>
      <c r="C75" s="1077"/>
      <c r="D75" s="1077"/>
      <c r="E75" s="1077"/>
      <c r="F75" s="1070">
        <v>0.05</v>
      </c>
    </row>
    <row r="76" spans="1:6" ht="14.25" thickBot="1">
      <c r="A76" s="840" t="s">
        <v>522</v>
      </c>
      <c r="B76" s="841" t="s">
        <v>888</v>
      </c>
      <c r="C76" s="1065">
        <v>0.1</v>
      </c>
      <c r="D76" s="1065">
        <v>0.1</v>
      </c>
      <c r="E76" s="1065">
        <v>0.1</v>
      </c>
      <c r="F76" s="1066">
        <v>0.1</v>
      </c>
    </row>
    <row r="77" spans="1:6" ht="14.25" thickBot="1">
      <c r="A77" s="840" t="s">
        <v>522</v>
      </c>
      <c r="B77" s="834" t="s">
        <v>190</v>
      </c>
      <c r="C77" s="1067">
        <v>8.7999999999999995E-2</v>
      </c>
      <c r="D77" s="1067">
        <v>8.6999999999999994E-2</v>
      </c>
      <c r="E77" s="1067">
        <v>7.9000000000000001E-2</v>
      </c>
      <c r="F77" s="1068">
        <v>0.1</v>
      </c>
    </row>
    <row r="78" spans="1:6" ht="14.25" thickBot="1">
      <c r="A78" s="840" t="s">
        <v>522</v>
      </c>
      <c r="B78" s="834" t="s">
        <v>203</v>
      </c>
      <c r="C78" s="1067">
        <v>8.6999999999999994E-2</v>
      </c>
      <c r="D78" s="1067">
        <v>8.4000000000000005E-2</v>
      </c>
      <c r="E78" s="1067">
        <v>9.6000000000000002E-2</v>
      </c>
      <c r="F78" s="1068">
        <v>0.1</v>
      </c>
    </row>
    <row r="79" spans="1:6" ht="14.25" thickBot="1">
      <c r="A79" s="840" t="s">
        <v>522</v>
      </c>
      <c r="B79" s="834" t="s">
        <v>216</v>
      </c>
      <c r="C79" s="1067">
        <v>9.8000000000000004E-2</v>
      </c>
      <c r="D79" s="1067">
        <v>9.8000000000000004E-2</v>
      </c>
      <c r="E79" s="1067">
        <v>9.0999999999999998E-2</v>
      </c>
      <c r="F79" s="1068">
        <v>0.1</v>
      </c>
    </row>
    <row r="80" spans="1:6" ht="14.25" thickBot="1">
      <c r="A80" s="840" t="s">
        <v>522</v>
      </c>
      <c r="B80" s="834" t="s">
        <v>228</v>
      </c>
      <c r="C80" s="1067">
        <v>9.6000000000000002E-2</v>
      </c>
      <c r="D80" s="1067">
        <v>9.6000000000000002E-2</v>
      </c>
      <c r="E80" s="1067">
        <v>0.1</v>
      </c>
      <c r="F80" s="1068">
        <v>0.1</v>
      </c>
    </row>
    <row r="81" spans="1:6" ht="14.25" thickBot="1">
      <c r="A81" s="840" t="s">
        <v>522</v>
      </c>
      <c r="B81" s="834" t="s">
        <v>239</v>
      </c>
      <c r="C81" s="1067">
        <v>9.9000000000000005E-2</v>
      </c>
      <c r="D81" s="1067">
        <v>9.9000000000000005E-2</v>
      </c>
      <c r="E81" s="1067">
        <v>9.8000000000000004E-2</v>
      </c>
      <c r="F81" s="1068">
        <v>0.1</v>
      </c>
    </row>
    <row r="82" spans="1:6" ht="14.25" thickBot="1">
      <c r="A82" s="840" t="s">
        <v>522</v>
      </c>
      <c r="B82" s="834" t="s">
        <v>250</v>
      </c>
      <c r="C82" s="1067">
        <v>9.9000000000000005E-2</v>
      </c>
      <c r="D82" s="1067">
        <v>9.9000000000000005E-2</v>
      </c>
      <c r="E82" s="1067">
        <v>9.7000000000000003E-2</v>
      </c>
      <c r="F82" s="1068">
        <v>0.1</v>
      </c>
    </row>
    <row r="83" spans="1:6" ht="14.25" thickBot="1">
      <c r="A83" s="840" t="s">
        <v>522</v>
      </c>
      <c r="B83" s="834" t="s">
        <v>261</v>
      </c>
      <c r="C83" s="1067">
        <v>9.8000000000000004E-2</v>
      </c>
      <c r="D83" s="1067">
        <v>9.8000000000000004E-2</v>
      </c>
      <c r="E83" s="1067">
        <v>9.8000000000000004E-2</v>
      </c>
      <c r="F83" s="1068">
        <v>0.1</v>
      </c>
    </row>
    <row r="84" spans="1:6" ht="14.25" thickBot="1">
      <c r="A84" s="840" t="s">
        <v>522</v>
      </c>
      <c r="B84" s="834" t="s">
        <v>273</v>
      </c>
      <c r="C84" s="1067">
        <v>9.9000000000000005E-2</v>
      </c>
      <c r="D84" s="1067">
        <v>9.9000000000000005E-2</v>
      </c>
      <c r="E84" s="1067">
        <v>9.9000000000000005E-2</v>
      </c>
      <c r="F84" s="1068">
        <v>0.1</v>
      </c>
    </row>
    <row r="85" spans="1:6" ht="14.25" thickBot="1">
      <c r="A85" s="840" t="s">
        <v>522</v>
      </c>
      <c r="B85" s="834" t="s">
        <v>283</v>
      </c>
      <c r="C85" s="1067">
        <v>9.9000000000000005E-2</v>
      </c>
      <c r="D85" s="1067">
        <v>9.9000000000000005E-2</v>
      </c>
      <c r="E85" s="1067">
        <v>9.9000000000000005E-2</v>
      </c>
      <c r="F85" s="1068">
        <v>0.1</v>
      </c>
    </row>
    <row r="86" spans="1:6" ht="14.25" thickBot="1">
      <c r="A86" s="840" t="s">
        <v>522</v>
      </c>
      <c r="B86" s="834" t="s">
        <v>293</v>
      </c>
      <c r="C86" s="1067">
        <v>0.1</v>
      </c>
      <c r="D86" s="1067">
        <v>0.1</v>
      </c>
      <c r="E86" s="1067">
        <v>7.6999999999999999E-2</v>
      </c>
      <c r="F86" s="1068">
        <v>0.1</v>
      </c>
    </row>
    <row r="87" spans="1:6" ht="14.25" thickBot="1">
      <c r="A87" s="840" t="s">
        <v>522</v>
      </c>
      <c r="B87" s="834" t="s">
        <v>303</v>
      </c>
      <c r="C87" s="1067">
        <v>0.1</v>
      </c>
      <c r="D87" s="1067">
        <v>0.1</v>
      </c>
      <c r="E87" s="1067">
        <v>9.8000000000000004E-2</v>
      </c>
      <c r="F87" s="1079"/>
    </row>
    <row r="88" spans="1:6" ht="14.25" thickBot="1">
      <c r="A88" s="840" t="s">
        <v>522</v>
      </c>
      <c r="B88" s="834" t="s">
        <v>313</v>
      </c>
      <c r="C88" s="1067">
        <v>9.1999999999999998E-2</v>
      </c>
      <c r="D88" s="1067">
        <v>8.5000000000000006E-2</v>
      </c>
      <c r="E88" s="1067">
        <v>9.6000000000000002E-2</v>
      </c>
      <c r="F88" s="1079"/>
    </row>
    <row r="89" spans="1:6" ht="14.25" thickBot="1">
      <c r="A89" s="840" t="s">
        <v>522</v>
      </c>
      <c r="B89" s="834" t="s">
        <v>324</v>
      </c>
      <c r="C89" s="1067">
        <v>0.1</v>
      </c>
      <c r="D89" s="1067">
        <v>0.1</v>
      </c>
      <c r="E89" s="1067">
        <v>9.7000000000000003E-2</v>
      </c>
      <c r="F89" s="1079"/>
    </row>
    <row r="90" spans="1:6" ht="14.25" thickBot="1">
      <c r="A90" s="840" t="s">
        <v>522</v>
      </c>
      <c r="B90" s="834" t="s">
        <v>335</v>
      </c>
      <c r="C90" s="1067">
        <v>9.8000000000000004E-2</v>
      </c>
      <c r="D90" s="1067">
        <v>9.8000000000000004E-2</v>
      </c>
      <c r="E90" s="1067">
        <v>8.7999999999999995E-2</v>
      </c>
      <c r="F90" s="1079"/>
    </row>
    <row r="91" spans="1:6" ht="14.25" thickBot="1">
      <c r="A91" s="840" t="s">
        <v>522</v>
      </c>
      <c r="B91" s="834" t="s">
        <v>345</v>
      </c>
      <c r="C91" s="1067">
        <v>9.9000000000000005E-2</v>
      </c>
      <c r="D91" s="1067">
        <v>9.9000000000000005E-2</v>
      </c>
      <c r="E91" s="1067">
        <v>9.0999999999999998E-2</v>
      </c>
      <c r="F91" s="1079"/>
    </row>
    <row r="92" spans="1:6" ht="14.25" thickBot="1">
      <c r="A92" s="840" t="s">
        <v>522</v>
      </c>
      <c r="B92" s="834" t="s">
        <v>355</v>
      </c>
      <c r="C92" s="1067">
        <v>9.6000000000000002E-2</v>
      </c>
      <c r="D92" s="1067">
        <v>9.6000000000000002E-2</v>
      </c>
      <c r="E92" s="1067">
        <v>7.2999999999999995E-2</v>
      </c>
      <c r="F92" s="1079"/>
    </row>
    <row r="93" spans="1:6" ht="14.25" thickBot="1">
      <c r="A93" s="840" t="s">
        <v>522</v>
      </c>
      <c r="B93" s="834" t="s">
        <v>365</v>
      </c>
      <c r="C93" s="1067">
        <v>9.6000000000000002E-2</v>
      </c>
      <c r="D93" s="1067">
        <v>9.6000000000000002E-2</v>
      </c>
      <c r="E93" s="1067">
        <v>9.9000000000000005E-2</v>
      </c>
      <c r="F93" s="1079"/>
    </row>
    <row r="94" spans="1:6" ht="14.25" thickBot="1">
      <c r="A94" s="840" t="s">
        <v>522</v>
      </c>
      <c r="B94" s="834" t="s">
        <v>375</v>
      </c>
      <c r="C94" s="1067">
        <v>7.5999999999999998E-2</v>
      </c>
      <c r="D94" s="1067">
        <v>7.3999999999999996E-2</v>
      </c>
      <c r="E94" s="1067">
        <v>9.7000000000000003E-2</v>
      </c>
      <c r="F94" s="1079"/>
    </row>
    <row r="95" spans="1:6" ht="14.25" thickBot="1">
      <c r="A95" s="840" t="s">
        <v>522</v>
      </c>
      <c r="B95" s="834" t="s">
        <v>384</v>
      </c>
      <c r="C95" s="1067">
        <v>9.9000000000000005E-2</v>
      </c>
      <c r="D95" s="1067">
        <v>9.4E-2</v>
      </c>
      <c r="E95" s="1067">
        <v>9.6000000000000002E-2</v>
      </c>
      <c r="F95" s="1079"/>
    </row>
    <row r="96" spans="1:6" ht="14.25" thickBot="1">
      <c r="A96" s="840" t="s">
        <v>522</v>
      </c>
      <c r="B96" s="834" t="s">
        <v>393</v>
      </c>
      <c r="C96" s="1067">
        <v>9.9000000000000005E-2</v>
      </c>
      <c r="D96" s="1067">
        <v>9.9000000000000005E-2</v>
      </c>
      <c r="E96" s="1067">
        <v>9.9000000000000005E-2</v>
      </c>
      <c r="F96" s="1079"/>
    </row>
    <row r="97" spans="1:6" ht="14.25" thickBot="1">
      <c r="A97" s="840" t="s">
        <v>522</v>
      </c>
      <c r="B97" s="834" t="s">
        <v>401</v>
      </c>
      <c r="C97" s="1067">
        <v>9.8000000000000004E-2</v>
      </c>
      <c r="D97" s="1067">
        <v>9.8000000000000004E-2</v>
      </c>
      <c r="E97" s="1067">
        <v>9.7000000000000003E-2</v>
      </c>
      <c r="F97" s="1079"/>
    </row>
    <row r="98" spans="1:6" ht="14.25" thickBot="1">
      <c r="A98" s="840" t="s">
        <v>522</v>
      </c>
      <c r="B98" s="834" t="s">
        <v>408</v>
      </c>
      <c r="C98" s="1067">
        <v>0.1</v>
      </c>
      <c r="D98" s="1067">
        <v>0.1</v>
      </c>
      <c r="E98" s="1067">
        <v>9.7000000000000003E-2</v>
      </c>
      <c r="F98" s="1079"/>
    </row>
    <row r="99" spans="1:6" ht="14.25" thickBot="1">
      <c r="A99" s="840" t="s">
        <v>522</v>
      </c>
      <c r="B99" s="834" t="s">
        <v>415</v>
      </c>
      <c r="C99" s="1067">
        <v>0.1</v>
      </c>
      <c r="D99" s="1067">
        <v>0.1</v>
      </c>
      <c r="E99" s="1080"/>
      <c r="F99" s="1079"/>
    </row>
    <row r="100" spans="1:6" ht="14.25" thickBot="1">
      <c r="A100" s="840" t="s">
        <v>522</v>
      </c>
      <c r="B100" s="834" t="s">
        <v>422</v>
      </c>
      <c r="C100" s="1067">
        <v>0.09</v>
      </c>
      <c r="D100" s="1067">
        <v>8.8999999999999996E-2</v>
      </c>
      <c r="E100" s="1080"/>
      <c r="F100" s="1079"/>
    </row>
    <row r="101" spans="1:6" ht="14.25" thickBot="1">
      <c r="A101" s="840" t="s">
        <v>522</v>
      </c>
      <c r="B101" s="834" t="s">
        <v>429</v>
      </c>
      <c r="C101" s="1067">
        <v>9.8000000000000004E-2</v>
      </c>
      <c r="D101" s="1067">
        <v>9.7000000000000003E-2</v>
      </c>
      <c r="E101" s="1080"/>
      <c r="F101" s="1079"/>
    </row>
    <row r="102" spans="1:6" ht="14.25" thickBot="1">
      <c r="A102" s="840" t="s">
        <v>522</v>
      </c>
      <c r="B102" s="834" t="s">
        <v>889</v>
      </c>
      <c r="C102" s="1080"/>
      <c r="D102" s="1080"/>
      <c r="E102" s="1080"/>
      <c r="F102" s="1068">
        <v>0.05</v>
      </c>
    </row>
    <row r="103" spans="1:6" ht="24.75" thickBot="1">
      <c r="A103" s="840" t="s">
        <v>522</v>
      </c>
      <c r="B103" s="834" t="s">
        <v>890</v>
      </c>
      <c r="C103" s="1080"/>
      <c r="D103" s="1080"/>
      <c r="E103" s="1080"/>
      <c r="F103" s="1068">
        <v>0.05</v>
      </c>
    </row>
    <row r="104" spans="1:6" ht="14.25" thickBot="1">
      <c r="A104" s="840" t="s">
        <v>522</v>
      </c>
      <c r="B104" s="834" t="s">
        <v>891</v>
      </c>
      <c r="C104" s="1080"/>
      <c r="D104" s="1080"/>
      <c r="E104" s="1080"/>
      <c r="F104" s="1068">
        <v>0.05</v>
      </c>
    </row>
    <row r="105" spans="1:6" ht="14.25" thickBot="1">
      <c r="A105" s="840" t="s">
        <v>522</v>
      </c>
      <c r="B105" s="834" t="s">
        <v>892</v>
      </c>
      <c r="C105" s="1080"/>
      <c r="D105" s="1080"/>
      <c r="E105" s="1080"/>
      <c r="F105" s="1068">
        <v>0.05</v>
      </c>
    </row>
    <row r="106" spans="1:6" ht="14.25" thickBot="1">
      <c r="A106" s="840" t="s">
        <v>522</v>
      </c>
      <c r="B106" s="834" t="s">
        <v>893</v>
      </c>
      <c r="C106" s="1080"/>
      <c r="D106" s="1080"/>
      <c r="E106" s="1080"/>
      <c r="F106" s="1068">
        <v>0.05</v>
      </c>
    </row>
    <row r="107" spans="1:6" ht="24.75" thickBot="1">
      <c r="A107" s="840" t="s">
        <v>522</v>
      </c>
      <c r="B107" s="834" t="s">
        <v>894</v>
      </c>
      <c r="C107" s="1080"/>
      <c r="D107" s="1080"/>
      <c r="E107" s="1080"/>
      <c r="F107" s="1068">
        <v>0.05</v>
      </c>
    </row>
    <row r="108" spans="1:6" ht="24.75" thickBot="1">
      <c r="A108" s="840" t="s">
        <v>522</v>
      </c>
      <c r="B108" s="834" t="s">
        <v>895</v>
      </c>
      <c r="C108" s="1080"/>
      <c r="D108" s="1080"/>
      <c r="E108" s="1080"/>
      <c r="F108" s="1068">
        <v>0.05</v>
      </c>
    </row>
    <row r="109" spans="1:6" ht="24.75" thickBot="1">
      <c r="A109" s="850" t="s">
        <v>522</v>
      </c>
      <c r="B109" s="846" t="s">
        <v>896</v>
      </c>
      <c r="C109" s="1077"/>
      <c r="D109" s="1077"/>
      <c r="E109" s="1077"/>
      <c r="F109" s="1070">
        <v>0.05</v>
      </c>
    </row>
    <row r="110" spans="1:6" ht="14.25" thickBot="1">
      <c r="A110" s="840" t="s">
        <v>55</v>
      </c>
      <c r="B110" s="841" t="s">
        <v>897</v>
      </c>
      <c r="C110" s="1065">
        <v>0.129</v>
      </c>
      <c r="D110" s="1065">
        <v>0.129</v>
      </c>
      <c r="E110" s="1065">
        <v>0.126</v>
      </c>
      <c r="F110" s="1066">
        <v>0.13</v>
      </c>
    </row>
    <row r="111" spans="1:6" ht="14.25" thickBot="1">
      <c r="A111" s="840" t="s">
        <v>55</v>
      </c>
      <c r="B111" s="834" t="s">
        <v>191</v>
      </c>
      <c r="C111" s="1067">
        <v>0.11</v>
      </c>
      <c r="D111" s="1067">
        <v>0.11</v>
      </c>
      <c r="E111" s="1067">
        <v>9.9000000000000005E-2</v>
      </c>
      <c r="F111" s="1068">
        <v>0.128</v>
      </c>
    </row>
    <row r="112" spans="1:6" ht="14.25" thickBot="1">
      <c r="A112" s="840" t="s">
        <v>55</v>
      </c>
      <c r="B112" s="834" t="s">
        <v>204</v>
      </c>
      <c r="C112" s="1067">
        <v>0.125</v>
      </c>
      <c r="D112" s="1067">
        <v>0.125</v>
      </c>
      <c r="E112" s="1067">
        <v>0.12</v>
      </c>
      <c r="F112" s="1068">
        <v>0.125</v>
      </c>
    </row>
    <row r="113" spans="1:6" ht="14.25" thickBot="1">
      <c r="A113" s="840" t="s">
        <v>55</v>
      </c>
      <c r="B113" s="834" t="s">
        <v>217</v>
      </c>
      <c r="C113" s="1067">
        <v>0.13</v>
      </c>
      <c r="D113" s="1067">
        <v>0.13</v>
      </c>
      <c r="E113" s="1067">
        <v>0.13</v>
      </c>
      <c r="F113" s="1068">
        <v>0.13</v>
      </c>
    </row>
    <row r="114" spans="1:6" ht="14.25" thickBot="1">
      <c r="A114" s="840" t="s">
        <v>55</v>
      </c>
      <c r="B114" s="834" t="s">
        <v>229</v>
      </c>
      <c r="C114" s="1067">
        <v>0.123</v>
      </c>
      <c r="D114" s="1067">
        <v>0.123</v>
      </c>
      <c r="E114" s="1067">
        <v>0.12</v>
      </c>
      <c r="F114" s="1068">
        <v>0.13</v>
      </c>
    </row>
    <row r="115" spans="1:6" ht="14.25" thickBot="1">
      <c r="A115" s="840" t="s">
        <v>55</v>
      </c>
      <c r="B115" s="834" t="s">
        <v>240</v>
      </c>
      <c r="C115" s="1067">
        <v>0.125</v>
      </c>
      <c r="D115" s="1067">
        <v>0.125</v>
      </c>
      <c r="E115" s="1067">
        <v>0.11700000000000001</v>
      </c>
      <c r="F115" s="1068">
        <v>0.13</v>
      </c>
    </row>
    <row r="116" spans="1:6" ht="14.25" thickBot="1">
      <c r="A116" s="840" t="s">
        <v>55</v>
      </c>
      <c r="B116" s="834" t="s">
        <v>251</v>
      </c>
      <c r="C116" s="1067">
        <v>0.11700000000000001</v>
      </c>
      <c r="D116" s="1067">
        <v>0.11700000000000001</v>
      </c>
      <c r="E116" s="1067">
        <v>8.7999999999999995E-2</v>
      </c>
      <c r="F116" s="1068">
        <v>0.13</v>
      </c>
    </row>
    <row r="117" spans="1:6" ht="14.25" thickBot="1">
      <c r="A117" s="840" t="s">
        <v>55</v>
      </c>
      <c r="B117" s="834" t="s">
        <v>262</v>
      </c>
      <c r="C117" s="1067">
        <v>0.13</v>
      </c>
      <c r="D117" s="1067">
        <v>0.13</v>
      </c>
      <c r="E117" s="1067">
        <v>0.129</v>
      </c>
      <c r="F117" s="1068">
        <v>0.13</v>
      </c>
    </row>
    <row r="118" spans="1:6" ht="14.25" thickBot="1">
      <c r="A118" s="840" t="s">
        <v>55</v>
      </c>
      <c r="B118" s="834" t="s">
        <v>274</v>
      </c>
      <c r="C118" s="1067">
        <v>0.123</v>
      </c>
      <c r="D118" s="1067">
        <v>0.123</v>
      </c>
      <c r="E118" s="1067">
        <v>0.11600000000000001</v>
      </c>
      <c r="F118" s="1068">
        <v>0.13</v>
      </c>
    </row>
    <row r="119" spans="1:6" ht="14.25" thickBot="1">
      <c r="A119" s="840" t="s">
        <v>55</v>
      </c>
      <c r="B119" s="834" t="s">
        <v>284</v>
      </c>
      <c r="C119" s="1067">
        <v>0.127</v>
      </c>
      <c r="D119" s="1067">
        <v>0.127</v>
      </c>
      <c r="E119" s="1067">
        <v>0.124</v>
      </c>
      <c r="F119" s="1068">
        <v>0.13</v>
      </c>
    </row>
    <row r="120" spans="1:6" ht="14.25" thickBot="1">
      <c r="A120" s="840" t="s">
        <v>55</v>
      </c>
      <c r="B120" s="834" t="s">
        <v>294</v>
      </c>
      <c r="C120" s="1067">
        <v>0.125</v>
      </c>
      <c r="D120" s="1067">
        <v>0.125</v>
      </c>
      <c r="E120" s="1067">
        <v>0.122</v>
      </c>
      <c r="F120" s="1068">
        <v>0.13</v>
      </c>
    </row>
    <row r="121" spans="1:6" ht="14.25" thickBot="1">
      <c r="A121" s="840" t="s">
        <v>55</v>
      </c>
      <c r="B121" s="834" t="s">
        <v>304</v>
      </c>
      <c r="C121" s="1067">
        <v>0.13</v>
      </c>
      <c r="D121" s="1067">
        <v>0.13</v>
      </c>
      <c r="E121" s="1067">
        <v>0.13</v>
      </c>
      <c r="F121" s="1068">
        <v>0.13</v>
      </c>
    </row>
    <row r="122" spans="1:6" ht="14.25" thickBot="1">
      <c r="A122" s="840" t="s">
        <v>55</v>
      </c>
      <c r="B122" s="834" t="s">
        <v>314</v>
      </c>
      <c r="C122" s="1067">
        <v>0.13</v>
      </c>
      <c r="D122" s="1067">
        <v>0.13</v>
      </c>
      <c r="E122" s="1067">
        <v>0.125</v>
      </c>
      <c r="F122" s="1068">
        <v>0.13</v>
      </c>
    </row>
    <row r="123" spans="1:6" ht="14.25" thickBot="1">
      <c r="A123" s="840" t="s">
        <v>55</v>
      </c>
      <c r="B123" s="834" t="s">
        <v>325</v>
      </c>
      <c r="C123" s="1067">
        <v>0.129</v>
      </c>
      <c r="D123" s="1067">
        <v>0.129</v>
      </c>
      <c r="E123" s="1067">
        <v>0.123</v>
      </c>
      <c r="F123" s="1068">
        <v>0.13</v>
      </c>
    </row>
    <row r="124" spans="1:6" ht="14.25" thickBot="1">
      <c r="A124" s="840" t="s">
        <v>55</v>
      </c>
      <c r="B124" s="834" t="s">
        <v>336</v>
      </c>
      <c r="C124" s="1067">
        <v>0.10199999999999999</v>
      </c>
      <c r="D124" s="1067">
        <v>0.10100000000000001</v>
      </c>
      <c r="E124" s="1067">
        <v>0.08</v>
      </c>
      <c r="F124" s="1079"/>
    </row>
    <row r="125" spans="1:6" ht="14.25" thickBot="1">
      <c r="A125" s="840" t="s">
        <v>55</v>
      </c>
      <c r="B125" s="834" t="s">
        <v>346</v>
      </c>
      <c r="C125" s="1067">
        <v>0.13</v>
      </c>
      <c r="D125" s="1067">
        <v>0.13</v>
      </c>
      <c r="E125" s="1067">
        <v>0.129</v>
      </c>
      <c r="F125" s="1079"/>
    </row>
    <row r="126" spans="1:6" ht="14.25" thickBot="1">
      <c r="A126" s="840" t="s">
        <v>55</v>
      </c>
      <c r="B126" s="834" t="s">
        <v>356</v>
      </c>
      <c r="C126" s="1067">
        <v>0.13</v>
      </c>
      <c r="D126" s="1067">
        <v>0.13</v>
      </c>
      <c r="E126" s="1067">
        <v>0.126</v>
      </c>
      <c r="F126" s="1079"/>
    </row>
    <row r="127" spans="1:6" ht="14.25" thickBot="1">
      <c r="A127" s="840" t="s">
        <v>55</v>
      </c>
      <c r="B127" s="834" t="s">
        <v>366</v>
      </c>
      <c r="C127" s="1067">
        <v>0.125</v>
      </c>
      <c r="D127" s="1067">
        <v>0.125</v>
      </c>
      <c r="E127" s="1067">
        <v>0.121</v>
      </c>
      <c r="F127" s="1079"/>
    </row>
    <row r="128" spans="1:6" ht="14.25" thickBot="1">
      <c r="A128" s="840" t="s">
        <v>55</v>
      </c>
      <c r="B128" s="834" t="s">
        <v>376</v>
      </c>
      <c r="C128" s="1067">
        <v>0.12</v>
      </c>
      <c r="D128" s="1067">
        <v>0.12</v>
      </c>
      <c r="E128" s="1067">
        <v>0.105</v>
      </c>
      <c r="F128" s="1079"/>
    </row>
    <row r="129" spans="1:6" ht="14.25" thickBot="1">
      <c r="A129" s="840" t="s">
        <v>55</v>
      </c>
      <c r="B129" s="834" t="s">
        <v>385</v>
      </c>
      <c r="C129" s="1067">
        <v>0.13</v>
      </c>
      <c r="D129" s="1067">
        <v>0.13</v>
      </c>
      <c r="E129" s="1067">
        <v>0.126</v>
      </c>
      <c r="F129" s="1079"/>
    </row>
    <row r="130" spans="1:6" ht="14.25" thickBot="1">
      <c r="A130" s="840" t="s">
        <v>55</v>
      </c>
      <c r="B130" s="834" t="s">
        <v>394</v>
      </c>
      <c r="C130" s="1067">
        <v>0.125</v>
      </c>
      <c r="D130" s="1067">
        <v>0.125</v>
      </c>
      <c r="E130" s="1067">
        <v>0.122</v>
      </c>
      <c r="F130" s="1079"/>
    </row>
    <row r="131" spans="1:6" ht="14.25" thickBot="1">
      <c r="A131" s="840" t="s">
        <v>55</v>
      </c>
      <c r="B131" s="834" t="s">
        <v>402</v>
      </c>
      <c r="C131" s="1067">
        <v>0.127</v>
      </c>
      <c r="D131" s="1067">
        <v>0.126</v>
      </c>
      <c r="E131" s="1067">
        <v>0.123</v>
      </c>
      <c r="F131" s="1079"/>
    </row>
    <row r="132" spans="1:6" ht="14.25" thickBot="1">
      <c r="A132" s="840" t="s">
        <v>55</v>
      </c>
      <c r="B132" s="834" t="s">
        <v>409</v>
      </c>
      <c r="C132" s="1067">
        <v>9.0999999999999998E-2</v>
      </c>
      <c r="D132" s="1067">
        <v>0.121</v>
      </c>
      <c r="E132" s="1067">
        <v>9.9000000000000005E-2</v>
      </c>
      <c r="F132" s="1079"/>
    </row>
    <row r="133" spans="1:6" ht="14.25" thickBot="1">
      <c r="A133" s="840" t="s">
        <v>55</v>
      </c>
      <c r="B133" s="834" t="s">
        <v>416</v>
      </c>
      <c r="C133" s="1067">
        <v>0.13</v>
      </c>
      <c r="D133" s="1067">
        <v>0.13</v>
      </c>
      <c r="E133" s="1067">
        <v>0.129</v>
      </c>
      <c r="F133" s="1079"/>
    </row>
    <row r="134" spans="1:6" ht="14.25" thickBot="1">
      <c r="A134" s="840" t="s">
        <v>55</v>
      </c>
      <c r="B134" s="834" t="s">
        <v>898</v>
      </c>
      <c r="C134" s="1067">
        <v>6.8000000000000005E-2</v>
      </c>
      <c r="D134" s="1067">
        <v>6.5000000000000002E-2</v>
      </c>
      <c r="E134" s="1067">
        <v>6.5000000000000002E-2</v>
      </c>
      <c r="F134" s="1068">
        <v>0.13</v>
      </c>
    </row>
    <row r="135" spans="1:6" ht="14.25" thickBot="1">
      <c r="A135" s="840" t="s">
        <v>55</v>
      </c>
      <c r="B135" s="834" t="s">
        <v>430</v>
      </c>
      <c r="C135" s="1067">
        <v>0.123</v>
      </c>
      <c r="D135" s="1067">
        <v>0.123</v>
      </c>
      <c r="E135" s="1067">
        <v>0.11</v>
      </c>
      <c r="F135" s="1079"/>
    </row>
    <row r="136" spans="1:6" ht="14.25" thickBot="1">
      <c r="A136" s="840" t="s">
        <v>55</v>
      </c>
      <c r="B136" s="834" t="s">
        <v>437</v>
      </c>
      <c r="C136" s="1067">
        <v>0.13</v>
      </c>
      <c r="D136" s="1067">
        <v>0.13</v>
      </c>
      <c r="E136" s="1067">
        <v>0.125</v>
      </c>
      <c r="F136" s="1079"/>
    </row>
    <row r="137" spans="1:6" ht="14.25" thickBot="1">
      <c r="A137" s="840" t="s">
        <v>55</v>
      </c>
      <c r="B137" s="834" t="s">
        <v>444</v>
      </c>
      <c r="C137" s="1067">
        <v>0.121</v>
      </c>
      <c r="D137" s="1067">
        <v>0.122</v>
      </c>
      <c r="E137" s="1067">
        <v>0.115</v>
      </c>
      <c r="F137" s="1079"/>
    </row>
    <row r="138" spans="1:6" ht="14.25" thickBot="1">
      <c r="A138" s="840" t="s">
        <v>55</v>
      </c>
      <c r="B138" s="834" t="s">
        <v>899</v>
      </c>
      <c r="C138" s="1067">
        <v>0.105</v>
      </c>
      <c r="D138" s="1067">
        <v>0.125</v>
      </c>
      <c r="E138" s="1067">
        <v>0.112</v>
      </c>
      <c r="F138" s="1079"/>
    </row>
    <row r="139" spans="1:6" ht="14.25" thickBot="1">
      <c r="A139" s="840" t="s">
        <v>55</v>
      </c>
      <c r="B139" s="834" t="s">
        <v>900</v>
      </c>
      <c r="C139" s="1067">
        <v>0.127</v>
      </c>
      <c r="D139" s="1067">
        <v>0.127</v>
      </c>
      <c r="E139" s="1067">
        <v>0.122</v>
      </c>
      <c r="F139" s="1068">
        <v>0.13</v>
      </c>
    </row>
    <row r="140" spans="1:6" ht="14.25" thickBot="1">
      <c r="A140" s="840" t="s">
        <v>55</v>
      </c>
      <c r="B140" s="834" t="s">
        <v>901</v>
      </c>
      <c r="C140" s="1067">
        <v>0.125</v>
      </c>
      <c r="D140" s="1067">
        <v>0.125</v>
      </c>
      <c r="E140" s="1067">
        <v>0.11899999999999999</v>
      </c>
      <c r="F140" s="1068">
        <v>0.13</v>
      </c>
    </row>
    <row r="141" spans="1:6" ht="14.25" thickBot="1">
      <c r="A141" s="840" t="s">
        <v>55</v>
      </c>
      <c r="B141" s="834" t="s">
        <v>463</v>
      </c>
      <c r="C141" s="1067">
        <v>0.125</v>
      </c>
      <c r="D141" s="1067">
        <v>0.125</v>
      </c>
      <c r="E141" s="1067">
        <v>0.11700000000000001</v>
      </c>
      <c r="F141" s="1079"/>
    </row>
    <row r="142" spans="1:6" ht="14.25" thickBot="1">
      <c r="A142" s="840" t="s">
        <v>55</v>
      </c>
      <c r="B142" s="834" t="s">
        <v>468</v>
      </c>
      <c r="C142" s="1067">
        <v>0.125</v>
      </c>
      <c r="D142" s="1067">
        <v>0.125</v>
      </c>
      <c r="E142" s="1067">
        <v>0.115</v>
      </c>
      <c r="F142" s="1079"/>
    </row>
    <row r="143" spans="1:6" ht="14.25" thickBot="1">
      <c r="A143" s="840" t="s">
        <v>55</v>
      </c>
      <c r="B143" s="834" t="s">
        <v>473</v>
      </c>
      <c r="C143" s="1067">
        <v>0.121</v>
      </c>
      <c r="D143" s="1067">
        <v>0.121</v>
      </c>
      <c r="E143" s="1067">
        <v>0.108</v>
      </c>
      <c r="F143" s="1079"/>
    </row>
    <row r="144" spans="1:6" ht="14.25" thickBot="1">
      <c r="A144" s="840" t="s">
        <v>55</v>
      </c>
      <c r="B144" s="1071" t="s">
        <v>902</v>
      </c>
      <c r="C144" s="1072">
        <v>0.126</v>
      </c>
      <c r="D144" s="1072">
        <v>0.126</v>
      </c>
      <c r="E144" s="1072">
        <v>0.121</v>
      </c>
      <c r="F144" s="1079"/>
    </row>
    <row r="145" spans="1:6" ht="14.25" thickBot="1">
      <c r="A145" s="850" t="s">
        <v>55</v>
      </c>
      <c r="B145" s="1073" t="s">
        <v>903</v>
      </c>
      <c r="C145" s="1081"/>
      <c r="D145" s="1081"/>
      <c r="E145" s="1081"/>
      <c r="F145" s="1074">
        <v>0.05</v>
      </c>
    </row>
    <row r="146" spans="1:6" ht="24.75" thickBot="1">
      <c r="A146" s="1075" t="s">
        <v>55</v>
      </c>
      <c r="B146" s="844" t="s">
        <v>904</v>
      </c>
      <c r="C146" s="1080"/>
      <c r="D146" s="1080"/>
      <c r="E146" s="1080"/>
      <c r="F146" s="1076">
        <v>0.05</v>
      </c>
    </row>
    <row r="147" spans="1:6" ht="24.75" thickBot="1">
      <c r="A147" s="840" t="s">
        <v>55</v>
      </c>
      <c r="B147" s="834" t="s">
        <v>905</v>
      </c>
      <c r="C147" s="1080"/>
      <c r="D147" s="1080"/>
      <c r="E147" s="1080"/>
      <c r="F147" s="1068">
        <v>0.05</v>
      </c>
    </row>
    <row r="148" spans="1:6" ht="24.75" thickBot="1">
      <c r="A148" s="840" t="s">
        <v>55</v>
      </c>
      <c r="B148" s="834" t="s">
        <v>906</v>
      </c>
      <c r="C148" s="1080"/>
      <c r="D148" s="1080"/>
      <c r="E148" s="1080"/>
      <c r="F148" s="1068">
        <v>0.05</v>
      </c>
    </row>
    <row r="149" spans="1:6" ht="24.75" thickBot="1">
      <c r="A149" s="840" t="s">
        <v>55</v>
      </c>
      <c r="B149" s="834" t="s">
        <v>907</v>
      </c>
      <c r="C149" s="1080"/>
      <c r="D149" s="1080"/>
      <c r="E149" s="1080"/>
      <c r="F149" s="1068">
        <v>0.05</v>
      </c>
    </row>
    <row r="150" spans="1:6" ht="24.75" thickBot="1">
      <c r="A150" s="840" t="s">
        <v>55</v>
      </c>
      <c r="B150" s="834" t="s">
        <v>908</v>
      </c>
      <c r="C150" s="1080"/>
      <c r="D150" s="1080"/>
      <c r="E150" s="1080"/>
      <c r="F150" s="1068">
        <v>0.05</v>
      </c>
    </row>
    <row r="151" spans="1:6" ht="24.75" thickBot="1">
      <c r="A151" s="840" t="s">
        <v>55</v>
      </c>
      <c r="B151" s="834" t="s">
        <v>909</v>
      </c>
      <c r="C151" s="1080"/>
      <c r="D151" s="1080"/>
      <c r="E151" s="1080"/>
      <c r="F151" s="1068">
        <v>0.05</v>
      </c>
    </row>
    <row r="152" spans="1:6" ht="24.75" thickBot="1">
      <c r="A152" s="840" t="s">
        <v>55</v>
      </c>
      <c r="B152" s="834" t="s">
        <v>506</v>
      </c>
      <c r="C152" s="1080"/>
      <c r="D152" s="1080"/>
      <c r="E152" s="1080"/>
      <c r="F152" s="1068">
        <v>0.05</v>
      </c>
    </row>
    <row r="153" spans="1:6" ht="14.25" thickBot="1">
      <c r="A153" s="840" t="s">
        <v>55</v>
      </c>
      <c r="B153" s="834" t="s">
        <v>910</v>
      </c>
      <c r="C153" s="1080"/>
      <c r="D153" s="1080"/>
      <c r="E153" s="1080"/>
      <c r="F153" s="1068">
        <v>0.05</v>
      </c>
    </row>
    <row r="154" spans="1:6" ht="14.25" thickBot="1">
      <c r="A154" s="840" t="s">
        <v>55</v>
      </c>
      <c r="B154" s="834" t="s">
        <v>911</v>
      </c>
      <c r="C154" s="1080"/>
      <c r="D154" s="1080"/>
      <c r="E154" s="1080"/>
      <c r="F154" s="1068">
        <v>0.05</v>
      </c>
    </row>
    <row r="155" spans="1:6" ht="24.75" thickBot="1">
      <c r="A155" s="840" t="s">
        <v>55</v>
      </c>
      <c r="B155" s="834" t="s">
        <v>912</v>
      </c>
      <c r="C155" s="1080"/>
      <c r="D155" s="1080"/>
      <c r="E155" s="1080"/>
      <c r="F155" s="1068">
        <v>0.05</v>
      </c>
    </row>
    <row r="156" spans="1:6" ht="24.75" thickBot="1">
      <c r="A156" s="840" t="s">
        <v>55</v>
      </c>
      <c r="B156" s="834" t="s">
        <v>913</v>
      </c>
      <c r="C156" s="1080"/>
      <c r="D156" s="1080"/>
      <c r="E156" s="1080"/>
      <c r="F156" s="1068">
        <v>0.05</v>
      </c>
    </row>
    <row r="157" spans="1:6" ht="14.25" thickBot="1">
      <c r="A157" s="850" t="s">
        <v>55</v>
      </c>
      <c r="B157" s="846" t="s">
        <v>914</v>
      </c>
      <c r="C157" s="1077"/>
      <c r="D157" s="1077"/>
      <c r="E157" s="1077"/>
      <c r="F157" s="1070">
        <v>0.05</v>
      </c>
    </row>
    <row r="158" spans="1:6" ht="14.25" thickBot="1">
      <c r="A158" s="840" t="s">
        <v>525</v>
      </c>
      <c r="B158" s="841" t="s">
        <v>915</v>
      </c>
      <c r="C158" s="1065">
        <v>0.13</v>
      </c>
      <c r="D158" s="1065">
        <v>0.13</v>
      </c>
      <c r="E158" s="1065">
        <v>0.13</v>
      </c>
      <c r="F158" s="1066">
        <v>0.13</v>
      </c>
    </row>
    <row r="159" spans="1:6" ht="14.25" thickBot="1">
      <c r="A159" s="840" t="s">
        <v>525</v>
      </c>
      <c r="B159" s="834" t="s">
        <v>192</v>
      </c>
      <c r="C159" s="1067">
        <v>0.13</v>
      </c>
      <c r="D159" s="1067">
        <v>0.13</v>
      </c>
      <c r="E159" s="1067">
        <v>0.13</v>
      </c>
      <c r="F159" s="1068">
        <v>0.13</v>
      </c>
    </row>
    <row r="160" spans="1:6" ht="14.25" thickBot="1">
      <c r="A160" s="840" t="s">
        <v>525</v>
      </c>
      <c r="B160" s="834" t="s">
        <v>205</v>
      </c>
      <c r="C160" s="1067">
        <v>0.13</v>
      </c>
      <c r="D160" s="1067">
        <v>0.13</v>
      </c>
      <c r="E160" s="1067">
        <v>0.129</v>
      </c>
      <c r="F160" s="1068">
        <v>0.13</v>
      </c>
    </row>
    <row r="161" spans="1:6" ht="14.25" thickBot="1">
      <c r="A161" s="840" t="s">
        <v>525</v>
      </c>
      <c r="B161" s="834" t="s">
        <v>218</v>
      </c>
      <c r="C161" s="1067">
        <v>0.128</v>
      </c>
      <c r="D161" s="1067">
        <v>0.128</v>
      </c>
      <c r="E161" s="1067">
        <v>0.125</v>
      </c>
      <c r="F161" s="1068">
        <v>0.13</v>
      </c>
    </row>
    <row r="162" spans="1:6" ht="14.25" thickBot="1">
      <c r="A162" s="840" t="s">
        <v>525</v>
      </c>
      <c r="B162" s="834" t="s">
        <v>230</v>
      </c>
      <c r="C162" s="1067">
        <v>0.122</v>
      </c>
      <c r="D162" s="1067">
        <v>0.122</v>
      </c>
      <c r="E162" s="1067">
        <v>0.126</v>
      </c>
      <c r="F162" s="1068">
        <v>0.122</v>
      </c>
    </row>
    <row r="163" spans="1:6" ht="14.25" thickBot="1">
      <c r="A163" s="840" t="s">
        <v>525</v>
      </c>
      <c r="B163" s="834" t="s">
        <v>241</v>
      </c>
      <c r="C163" s="1067">
        <v>0.13</v>
      </c>
      <c r="D163" s="1067">
        <v>0.13</v>
      </c>
      <c r="E163" s="1067">
        <v>0.125</v>
      </c>
      <c r="F163" s="1068">
        <v>0.13</v>
      </c>
    </row>
    <row r="164" spans="1:6" ht="14.25" thickBot="1">
      <c r="A164" s="840" t="s">
        <v>525</v>
      </c>
      <c r="B164" s="834" t="s">
        <v>252</v>
      </c>
      <c r="C164" s="1067">
        <v>0.13</v>
      </c>
      <c r="D164" s="1067">
        <v>0.13</v>
      </c>
      <c r="E164" s="1067">
        <v>0.13</v>
      </c>
      <c r="F164" s="1068">
        <v>0.13</v>
      </c>
    </row>
    <row r="165" spans="1:6" ht="14.25" thickBot="1">
      <c r="A165" s="840" t="s">
        <v>525</v>
      </c>
      <c r="B165" s="834" t="s">
        <v>263</v>
      </c>
      <c r="C165" s="1067">
        <v>0.13</v>
      </c>
      <c r="D165" s="1067">
        <v>0.13</v>
      </c>
      <c r="E165" s="1067">
        <v>0.124</v>
      </c>
      <c r="F165" s="1068">
        <v>0.13</v>
      </c>
    </row>
    <row r="166" spans="1:6" ht="14.25" thickBot="1">
      <c r="A166" s="840" t="s">
        <v>525</v>
      </c>
      <c r="B166" s="834" t="s">
        <v>275</v>
      </c>
      <c r="C166" s="1067">
        <v>0.13</v>
      </c>
      <c r="D166" s="1067">
        <v>0.13</v>
      </c>
      <c r="E166" s="1067">
        <v>0.13</v>
      </c>
      <c r="F166" s="1068">
        <v>0.13</v>
      </c>
    </row>
    <row r="167" spans="1:6" ht="14.25" thickBot="1">
      <c r="A167" s="840" t="s">
        <v>525</v>
      </c>
      <c r="B167" s="834" t="s">
        <v>285</v>
      </c>
      <c r="C167" s="1067">
        <v>0.125</v>
      </c>
      <c r="D167" s="1067">
        <v>0.125</v>
      </c>
      <c r="E167" s="1067">
        <v>0.121</v>
      </c>
      <c r="F167" s="1079"/>
    </row>
    <row r="168" spans="1:6" ht="14.25" thickBot="1">
      <c r="A168" s="840" t="s">
        <v>525</v>
      </c>
      <c r="B168" s="834" t="s">
        <v>295</v>
      </c>
      <c r="C168" s="1067">
        <v>0.13</v>
      </c>
      <c r="D168" s="1067">
        <v>0.13</v>
      </c>
      <c r="E168" s="1067">
        <v>0.126</v>
      </c>
      <c r="F168" s="1079"/>
    </row>
    <row r="169" spans="1:6" ht="14.25" thickBot="1">
      <c r="A169" s="840" t="s">
        <v>525</v>
      </c>
      <c r="B169" s="834" t="s">
        <v>305</v>
      </c>
      <c r="C169" s="1067">
        <v>0.128</v>
      </c>
      <c r="D169" s="1067">
        <v>0.129</v>
      </c>
      <c r="E169" s="1067">
        <v>0.13</v>
      </c>
      <c r="F169" s="1079"/>
    </row>
    <row r="170" spans="1:6" ht="14.25" thickBot="1">
      <c r="A170" s="840" t="s">
        <v>525</v>
      </c>
      <c r="B170" s="834" t="s">
        <v>315</v>
      </c>
      <c r="C170" s="1067">
        <v>0.14099999999999999</v>
      </c>
      <c r="D170" s="1067">
        <v>0.13</v>
      </c>
      <c r="E170" s="1067">
        <v>0.125</v>
      </c>
      <c r="F170" s="1079"/>
    </row>
    <row r="171" spans="1:6" ht="14.25" thickBot="1">
      <c r="A171" s="840" t="s">
        <v>525</v>
      </c>
      <c r="B171" s="834" t="s">
        <v>916</v>
      </c>
      <c r="C171" s="1067">
        <v>0.127</v>
      </c>
      <c r="D171" s="1067">
        <v>0.126</v>
      </c>
      <c r="E171" s="1067">
        <v>0.126</v>
      </c>
      <c r="F171" s="1068">
        <v>0.11799999999999999</v>
      </c>
    </row>
    <row r="172" spans="1:6" ht="14.25" thickBot="1">
      <c r="A172" s="840" t="s">
        <v>525</v>
      </c>
      <c r="B172" s="834" t="s">
        <v>917</v>
      </c>
      <c r="C172" s="1067">
        <v>0.13</v>
      </c>
      <c r="D172" s="1067">
        <v>0.13</v>
      </c>
      <c r="E172" s="1067">
        <v>0.13</v>
      </c>
      <c r="F172" s="1079"/>
    </row>
    <row r="173" spans="1:6" ht="14.25" thickBot="1">
      <c r="A173" s="840" t="s">
        <v>525</v>
      </c>
      <c r="B173" s="834" t="s">
        <v>347</v>
      </c>
      <c r="C173" s="1067">
        <v>0.13</v>
      </c>
      <c r="D173" s="1067">
        <v>0.13</v>
      </c>
      <c r="E173" s="1067">
        <v>0.13</v>
      </c>
      <c r="F173" s="1079"/>
    </row>
    <row r="174" spans="1:6" ht="14.25" thickBot="1">
      <c r="A174" s="840" t="s">
        <v>525</v>
      </c>
      <c r="B174" s="834" t="s">
        <v>918</v>
      </c>
      <c r="C174" s="1067">
        <v>0.13</v>
      </c>
      <c r="D174" s="1067">
        <v>0.13</v>
      </c>
      <c r="E174" s="1067">
        <v>0.13</v>
      </c>
      <c r="F174" s="1068">
        <v>0.13</v>
      </c>
    </row>
    <row r="175" spans="1:6" ht="14.25" thickBot="1">
      <c r="A175" s="840" t="s">
        <v>525</v>
      </c>
      <c r="B175" s="834" t="s">
        <v>919</v>
      </c>
      <c r="C175" s="1067">
        <v>0.13</v>
      </c>
      <c r="D175" s="1067">
        <v>0.13</v>
      </c>
      <c r="E175" s="1067">
        <v>0.13</v>
      </c>
      <c r="F175" s="1068">
        <v>0.13</v>
      </c>
    </row>
    <row r="176" spans="1:6" ht="14.25" thickBot="1">
      <c r="A176" s="840" t="s">
        <v>525</v>
      </c>
      <c r="B176" s="834" t="s">
        <v>377</v>
      </c>
      <c r="C176" s="1067">
        <v>0.13</v>
      </c>
      <c r="D176" s="1067">
        <v>0.13</v>
      </c>
      <c r="E176" s="1067">
        <v>0.13</v>
      </c>
      <c r="F176" s="1068">
        <v>0.13</v>
      </c>
    </row>
    <row r="177" spans="1:6" ht="14.25" thickBot="1">
      <c r="A177" s="840" t="s">
        <v>525</v>
      </c>
      <c r="B177" s="834" t="s">
        <v>920</v>
      </c>
      <c r="C177" s="1067">
        <v>0.13</v>
      </c>
      <c r="D177" s="1067">
        <v>0.13</v>
      </c>
      <c r="E177" s="1067">
        <v>0.13</v>
      </c>
      <c r="F177" s="1068">
        <v>0.13</v>
      </c>
    </row>
    <row r="178" spans="1:6" ht="14.25" thickBot="1">
      <c r="A178" s="840" t="s">
        <v>525</v>
      </c>
      <c r="B178" s="834" t="s">
        <v>395</v>
      </c>
      <c r="C178" s="1067">
        <v>0.13</v>
      </c>
      <c r="D178" s="1067">
        <v>0.13</v>
      </c>
      <c r="E178" s="1067">
        <v>0.13</v>
      </c>
      <c r="F178" s="1068">
        <v>0.127</v>
      </c>
    </row>
    <row r="179" spans="1:6" ht="14.25" thickBot="1">
      <c r="A179" s="840" t="s">
        <v>525</v>
      </c>
      <c r="B179" s="834" t="s">
        <v>403</v>
      </c>
      <c r="C179" s="1067">
        <v>0.13</v>
      </c>
      <c r="D179" s="1067">
        <v>0.13</v>
      </c>
      <c r="E179" s="1067">
        <v>0.13</v>
      </c>
      <c r="F179" s="1079"/>
    </row>
    <row r="180" spans="1:6" ht="14.25" thickBot="1">
      <c r="A180" s="840" t="s">
        <v>525</v>
      </c>
      <c r="B180" s="834" t="s">
        <v>921</v>
      </c>
      <c r="C180" s="1067">
        <v>0.13</v>
      </c>
      <c r="D180" s="1067">
        <v>0.13</v>
      </c>
      <c r="E180" s="1067">
        <v>0.125</v>
      </c>
      <c r="F180" s="1068">
        <v>0.13</v>
      </c>
    </row>
    <row r="181" spans="1:6" ht="14.25" thickBot="1">
      <c r="A181" s="840" t="s">
        <v>525</v>
      </c>
      <c r="B181" s="834" t="s">
        <v>417</v>
      </c>
      <c r="C181" s="1067">
        <v>0.122</v>
      </c>
      <c r="D181" s="1067">
        <v>0.123</v>
      </c>
      <c r="E181" s="1067">
        <v>0.126</v>
      </c>
      <c r="F181" s="1068">
        <v>0.121</v>
      </c>
    </row>
    <row r="182" spans="1:6" ht="14.25" thickBot="1">
      <c r="A182" s="840" t="s">
        <v>525</v>
      </c>
      <c r="B182" s="834" t="s">
        <v>424</v>
      </c>
      <c r="C182" s="1067">
        <v>0.125</v>
      </c>
      <c r="D182" s="1067">
        <v>0.125</v>
      </c>
      <c r="E182" s="1067">
        <v>0.11700000000000001</v>
      </c>
      <c r="F182" s="1068">
        <v>0.13</v>
      </c>
    </row>
    <row r="183" spans="1:6" ht="14.25" thickBot="1">
      <c r="A183" s="840" t="s">
        <v>525</v>
      </c>
      <c r="B183" s="834" t="s">
        <v>431</v>
      </c>
      <c r="C183" s="1067">
        <v>0.127</v>
      </c>
      <c r="D183" s="1067">
        <v>0.127</v>
      </c>
      <c r="E183" s="1067">
        <v>0.128</v>
      </c>
      <c r="F183" s="1079"/>
    </row>
    <row r="184" spans="1:6" ht="14.25" thickBot="1">
      <c r="A184" s="840" t="s">
        <v>525</v>
      </c>
      <c r="B184" s="834" t="s">
        <v>438</v>
      </c>
      <c r="C184" s="1067">
        <v>0.125</v>
      </c>
      <c r="D184" s="1067">
        <v>0.125</v>
      </c>
      <c r="E184" s="1067">
        <v>0.127</v>
      </c>
      <c r="F184" s="1079"/>
    </row>
    <row r="185" spans="1:6" ht="14.25" thickBot="1">
      <c r="A185" s="840" t="s">
        <v>525</v>
      </c>
      <c r="B185" s="834" t="s">
        <v>922</v>
      </c>
      <c r="C185" s="1067">
        <v>0.127</v>
      </c>
      <c r="D185" s="1067">
        <v>0.127</v>
      </c>
      <c r="E185" s="1067">
        <v>0.128</v>
      </c>
      <c r="F185" s="1068">
        <v>0.13</v>
      </c>
    </row>
    <row r="186" spans="1:6" ht="24.75" thickBot="1">
      <c r="A186" s="840" t="s">
        <v>525</v>
      </c>
      <c r="B186" s="834" t="s">
        <v>923</v>
      </c>
      <c r="C186" s="1080"/>
      <c r="D186" s="1080"/>
      <c r="E186" s="1080"/>
      <c r="F186" s="1068">
        <v>0.05</v>
      </c>
    </row>
    <row r="187" spans="1:6" ht="14.25" thickBot="1">
      <c r="A187" s="840" t="s">
        <v>525</v>
      </c>
      <c r="B187" s="834" t="s">
        <v>924</v>
      </c>
      <c r="C187" s="1080"/>
      <c r="D187" s="1080"/>
      <c r="E187" s="1080"/>
      <c r="F187" s="1068">
        <v>0.05</v>
      </c>
    </row>
    <row r="188" spans="1:6" ht="14.25" thickBot="1">
      <c r="A188" s="840" t="s">
        <v>525</v>
      </c>
      <c r="B188" s="834" t="s">
        <v>925</v>
      </c>
      <c r="C188" s="1080"/>
      <c r="D188" s="1080"/>
      <c r="E188" s="1080"/>
      <c r="F188" s="1068">
        <v>0.05</v>
      </c>
    </row>
    <row r="189" spans="1:6" ht="24.75" thickBot="1">
      <c r="A189" s="840" t="s">
        <v>525</v>
      </c>
      <c r="B189" s="834" t="s">
        <v>926</v>
      </c>
      <c r="C189" s="1080"/>
      <c r="D189" s="1080"/>
      <c r="E189" s="1080"/>
      <c r="F189" s="1068">
        <v>0.05</v>
      </c>
    </row>
    <row r="190" spans="1:6" ht="24.75" thickBot="1">
      <c r="A190" s="840" t="s">
        <v>525</v>
      </c>
      <c r="B190" s="834" t="s">
        <v>927</v>
      </c>
      <c r="C190" s="1080"/>
      <c r="D190" s="1080"/>
      <c r="E190" s="1080"/>
      <c r="F190" s="1068">
        <v>0.05</v>
      </c>
    </row>
    <row r="191" spans="1:6" ht="24.75" thickBot="1">
      <c r="A191" s="840" t="s">
        <v>525</v>
      </c>
      <c r="B191" s="834" t="s">
        <v>928</v>
      </c>
      <c r="C191" s="1080"/>
      <c r="D191" s="1080"/>
      <c r="E191" s="1080"/>
      <c r="F191" s="1068">
        <v>0.05</v>
      </c>
    </row>
    <row r="192" spans="1:6" ht="24.75" thickBot="1">
      <c r="A192" s="840" t="s">
        <v>525</v>
      </c>
      <c r="B192" s="834" t="s">
        <v>929</v>
      </c>
      <c r="C192" s="1080"/>
      <c r="D192" s="1080"/>
      <c r="E192" s="1080"/>
      <c r="F192" s="1068">
        <v>0.05</v>
      </c>
    </row>
    <row r="193" spans="1:6" ht="24.75" thickBot="1">
      <c r="A193" s="840" t="s">
        <v>525</v>
      </c>
      <c r="B193" s="834" t="s">
        <v>930</v>
      </c>
      <c r="C193" s="1080"/>
      <c r="D193" s="1080"/>
      <c r="E193" s="1080"/>
      <c r="F193" s="1068">
        <v>0.05</v>
      </c>
    </row>
    <row r="194" spans="1:6" ht="24.75" thickBot="1">
      <c r="A194" s="840" t="s">
        <v>525</v>
      </c>
      <c r="B194" s="834" t="s">
        <v>931</v>
      </c>
      <c r="C194" s="1080"/>
      <c r="D194" s="1080"/>
      <c r="E194" s="1080"/>
      <c r="F194" s="1068">
        <v>0.05</v>
      </c>
    </row>
    <row r="195" spans="1:6" ht="14.25" thickBot="1">
      <c r="A195" s="840" t="s">
        <v>525</v>
      </c>
      <c r="B195" s="834" t="s">
        <v>932</v>
      </c>
      <c r="C195" s="1080"/>
      <c r="D195" s="1080"/>
      <c r="E195" s="1080"/>
      <c r="F195" s="1068">
        <v>0.05</v>
      </c>
    </row>
    <row r="196" spans="1:6" ht="24.75" thickBot="1">
      <c r="A196" s="840" t="s">
        <v>525</v>
      </c>
      <c r="B196" s="834" t="s">
        <v>933</v>
      </c>
      <c r="C196" s="1080"/>
      <c r="D196" s="1080"/>
      <c r="E196" s="1080"/>
      <c r="F196" s="1068">
        <v>0.05</v>
      </c>
    </row>
    <row r="197" spans="1:6" ht="24.75" thickBot="1">
      <c r="A197" s="840" t="s">
        <v>525</v>
      </c>
      <c r="B197" s="834" t="s">
        <v>934</v>
      </c>
      <c r="C197" s="1080"/>
      <c r="D197" s="1080"/>
      <c r="E197" s="1080"/>
      <c r="F197" s="1068">
        <v>0.05</v>
      </c>
    </row>
    <row r="198" spans="1:6" ht="24.75" thickBot="1">
      <c r="A198" s="840" t="s">
        <v>525</v>
      </c>
      <c r="B198" s="834" t="s">
        <v>935</v>
      </c>
      <c r="C198" s="1080"/>
      <c r="D198" s="1080"/>
      <c r="E198" s="1080"/>
      <c r="F198" s="1068">
        <v>0.05</v>
      </c>
    </row>
    <row r="199" spans="1:6" ht="24.75" thickBot="1">
      <c r="A199" s="840" t="s">
        <v>525</v>
      </c>
      <c r="B199" s="834" t="s">
        <v>936</v>
      </c>
      <c r="C199" s="1080"/>
      <c r="D199" s="1080"/>
      <c r="E199" s="1080"/>
      <c r="F199" s="1068">
        <v>0.05</v>
      </c>
    </row>
    <row r="200" spans="1:6" ht="24.75" thickBot="1">
      <c r="A200" s="840" t="s">
        <v>525</v>
      </c>
      <c r="B200" s="834" t="s">
        <v>937</v>
      </c>
      <c r="C200" s="1080"/>
      <c r="D200" s="1080"/>
      <c r="E200" s="1080"/>
      <c r="F200" s="1068">
        <v>0.05</v>
      </c>
    </row>
    <row r="201" spans="1:6" ht="24.75" thickBot="1">
      <c r="A201" s="840" t="s">
        <v>525</v>
      </c>
      <c r="B201" s="834" t="s">
        <v>938</v>
      </c>
      <c r="C201" s="1080"/>
      <c r="D201" s="1080"/>
      <c r="E201" s="1080"/>
      <c r="F201" s="1068">
        <v>0.05</v>
      </c>
    </row>
    <row r="202" spans="1:6" ht="24.75" thickBot="1">
      <c r="A202" s="840" t="s">
        <v>525</v>
      </c>
      <c r="B202" s="834" t="s">
        <v>939</v>
      </c>
      <c r="C202" s="1080"/>
      <c r="D202" s="1080"/>
      <c r="E202" s="1080"/>
      <c r="F202" s="1068">
        <v>0.05</v>
      </c>
    </row>
    <row r="203" spans="1:6" ht="24.75" thickBot="1">
      <c r="A203" s="840" t="s">
        <v>525</v>
      </c>
      <c r="B203" s="834" t="s">
        <v>940</v>
      </c>
      <c r="C203" s="1080"/>
      <c r="D203" s="1080"/>
      <c r="E203" s="1080"/>
      <c r="F203" s="1068">
        <v>0.05</v>
      </c>
    </row>
    <row r="204" spans="1:6" ht="14.25" thickBot="1">
      <c r="A204" s="840" t="s">
        <v>525</v>
      </c>
      <c r="B204" s="834" t="s">
        <v>941</v>
      </c>
      <c r="C204" s="1080"/>
      <c r="D204" s="1080"/>
      <c r="E204" s="1080"/>
      <c r="F204" s="1068">
        <v>0.05</v>
      </c>
    </row>
    <row r="205" spans="1:6" ht="14.25" thickBot="1">
      <c r="A205" s="850" t="s">
        <v>525</v>
      </c>
      <c r="B205" s="846" t="s">
        <v>942</v>
      </c>
      <c r="C205" s="1077"/>
      <c r="D205" s="1077"/>
      <c r="E205" s="1077"/>
      <c r="F205" s="1070">
        <v>0.05</v>
      </c>
    </row>
    <row r="206" spans="1:6" ht="14.25" thickBot="1">
      <c r="A206" s="840" t="s">
        <v>527</v>
      </c>
      <c r="B206" s="841" t="s">
        <v>943</v>
      </c>
      <c r="C206" s="1065">
        <v>0.15</v>
      </c>
      <c r="D206" s="1065">
        <v>0.15</v>
      </c>
      <c r="E206" s="1065">
        <v>0.15</v>
      </c>
      <c r="F206" s="1066">
        <v>0.15</v>
      </c>
    </row>
    <row r="207" spans="1:6" ht="14.25" thickBot="1">
      <c r="A207" s="840" t="s">
        <v>527</v>
      </c>
      <c r="B207" s="834" t="s">
        <v>193</v>
      </c>
      <c r="C207" s="1067">
        <v>0.15</v>
      </c>
      <c r="D207" s="1067">
        <v>0.15</v>
      </c>
      <c r="E207" s="1067">
        <v>0.15</v>
      </c>
      <c r="F207" s="1068">
        <v>0.14399999999999999</v>
      </c>
    </row>
    <row r="208" spans="1:6" ht="14.25" thickBot="1">
      <c r="A208" s="840" t="s">
        <v>527</v>
      </c>
      <c r="B208" s="834" t="s">
        <v>206</v>
      </c>
      <c r="C208" s="1067">
        <v>0.15</v>
      </c>
      <c r="D208" s="1067">
        <v>0.15</v>
      </c>
      <c r="E208" s="1067">
        <v>0.15</v>
      </c>
      <c r="F208" s="1068">
        <v>0.15</v>
      </c>
    </row>
    <row r="209" spans="1:6" ht="14.25" thickBot="1">
      <c r="A209" s="840" t="s">
        <v>527</v>
      </c>
      <c r="B209" s="834" t="s">
        <v>219</v>
      </c>
      <c r="C209" s="1067">
        <v>0.13700000000000001</v>
      </c>
      <c r="D209" s="1067">
        <v>0.13700000000000001</v>
      </c>
      <c r="E209" s="1067">
        <v>0.14000000000000001</v>
      </c>
      <c r="F209" s="1068">
        <v>0.11700000000000001</v>
      </c>
    </row>
    <row r="210" spans="1:6" ht="14.25" thickBot="1">
      <c r="A210" s="840" t="s">
        <v>527</v>
      </c>
      <c r="B210" s="834" t="s">
        <v>944</v>
      </c>
      <c r="C210" s="1067">
        <v>0.15</v>
      </c>
      <c r="D210" s="1067">
        <v>0.15</v>
      </c>
      <c r="E210" s="1067">
        <v>0.15</v>
      </c>
      <c r="F210" s="1068">
        <v>0.13800000000000001</v>
      </c>
    </row>
    <row r="211" spans="1:6" ht="14.25" thickBot="1">
      <c r="A211" s="840" t="s">
        <v>527</v>
      </c>
      <c r="B211" s="834" t="s">
        <v>945</v>
      </c>
      <c r="C211" s="1067">
        <v>0.13700000000000001</v>
      </c>
      <c r="D211" s="1067">
        <v>0.13500000000000001</v>
      </c>
      <c r="E211" s="1067">
        <v>0.13600000000000001</v>
      </c>
      <c r="F211" s="1068">
        <v>0.1</v>
      </c>
    </row>
    <row r="212" spans="1:6" ht="14.25" thickBot="1">
      <c r="A212" s="840" t="s">
        <v>527</v>
      </c>
      <c r="B212" s="834" t="s">
        <v>946</v>
      </c>
      <c r="C212" s="1067">
        <v>0.15</v>
      </c>
      <c r="D212" s="1067">
        <v>0.15</v>
      </c>
      <c r="E212" s="1067">
        <v>0.14799999999999999</v>
      </c>
      <c r="F212" s="1068">
        <v>0.13600000000000001</v>
      </c>
    </row>
    <row r="213" spans="1:6" ht="14.25" thickBot="1">
      <c r="A213" s="840" t="s">
        <v>527</v>
      </c>
      <c r="B213" s="834" t="s">
        <v>264</v>
      </c>
      <c r="C213" s="1067">
        <v>0.15</v>
      </c>
      <c r="D213" s="1067">
        <v>0.15</v>
      </c>
      <c r="E213" s="1067">
        <v>0.15</v>
      </c>
      <c r="F213" s="1068">
        <v>0.13800000000000001</v>
      </c>
    </row>
    <row r="214" spans="1:6" ht="14.25" thickBot="1">
      <c r="A214" s="840" t="s">
        <v>527</v>
      </c>
      <c r="B214" s="834" t="s">
        <v>276</v>
      </c>
      <c r="C214" s="1067">
        <v>9.0999999999999998E-2</v>
      </c>
      <c r="D214" s="1067">
        <v>0.09</v>
      </c>
      <c r="E214" s="1067">
        <v>9.1999999999999998E-2</v>
      </c>
      <c r="F214" s="1079"/>
    </row>
    <row r="215" spans="1:6" ht="14.25" thickBot="1">
      <c r="A215" s="840" t="s">
        <v>527</v>
      </c>
      <c r="B215" s="834" t="s">
        <v>947</v>
      </c>
      <c r="C215" s="1067">
        <v>0.15</v>
      </c>
      <c r="D215" s="1067">
        <v>0.15</v>
      </c>
      <c r="E215" s="1067">
        <v>0.15</v>
      </c>
      <c r="F215" s="1068">
        <v>0.15</v>
      </c>
    </row>
    <row r="216" spans="1:6" ht="14.25" thickBot="1">
      <c r="A216" s="840" t="s">
        <v>527</v>
      </c>
      <c r="B216" s="834" t="s">
        <v>296</v>
      </c>
      <c r="C216" s="1067">
        <v>0.14699999999999999</v>
      </c>
      <c r="D216" s="1067">
        <v>0.14699999999999999</v>
      </c>
      <c r="E216" s="1067">
        <v>0.15</v>
      </c>
      <c r="F216" s="1068">
        <v>0.14000000000000001</v>
      </c>
    </row>
    <row r="217" spans="1:6" ht="14.25" thickBot="1">
      <c r="A217" s="840" t="s">
        <v>527</v>
      </c>
      <c r="B217" s="834" t="s">
        <v>306</v>
      </c>
      <c r="C217" s="1067">
        <v>0.15</v>
      </c>
      <c r="D217" s="1067">
        <v>0.15</v>
      </c>
      <c r="E217" s="1067">
        <v>0.15</v>
      </c>
      <c r="F217" s="1068">
        <v>0.15</v>
      </c>
    </row>
    <row r="218" spans="1:6" ht="14.25" thickBot="1">
      <c r="A218" s="840" t="s">
        <v>527</v>
      </c>
      <c r="B218" s="834" t="s">
        <v>948</v>
      </c>
      <c r="C218" s="1067">
        <v>0.15</v>
      </c>
      <c r="D218" s="1067">
        <v>0.15</v>
      </c>
      <c r="E218" s="1067">
        <v>0.15</v>
      </c>
      <c r="F218" s="1068">
        <v>0.15</v>
      </c>
    </row>
    <row r="219" spans="1:6" ht="14.25" thickBot="1">
      <c r="A219" s="840" t="s">
        <v>527</v>
      </c>
      <c r="B219" s="834" t="s">
        <v>327</v>
      </c>
      <c r="C219" s="1067">
        <v>0.15</v>
      </c>
      <c r="D219" s="1067">
        <v>0.15</v>
      </c>
      <c r="E219" s="1067">
        <v>0.15</v>
      </c>
      <c r="F219" s="1068">
        <v>0.14799999999999999</v>
      </c>
    </row>
    <row r="220" spans="1:6" ht="14.25" thickBot="1">
      <c r="A220" s="840" t="s">
        <v>527</v>
      </c>
      <c r="B220" s="834" t="s">
        <v>949</v>
      </c>
      <c r="C220" s="1067">
        <v>0.15</v>
      </c>
      <c r="D220" s="1067">
        <v>0.15</v>
      </c>
      <c r="E220" s="1067">
        <v>0.15</v>
      </c>
      <c r="F220" s="1068">
        <v>0.15</v>
      </c>
    </row>
    <row r="221" spans="1:6" ht="14.25" thickBot="1">
      <c r="A221" s="840" t="s">
        <v>527</v>
      </c>
      <c r="B221" s="834" t="s">
        <v>348</v>
      </c>
      <c r="C221" s="1067"/>
      <c r="D221" s="1080"/>
      <c r="E221" s="1080"/>
      <c r="F221" s="1068">
        <v>0.14799999999999999</v>
      </c>
    </row>
    <row r="222" spans="1:6" ht="14.25" thickBot="1">
      <c r="A222" s="840" t="s">
        <v>527</v>
      </c>
      <c r="B222" s="834" t="s">
        <v>358</v>
      </c>
      <c r="C222" s="1067"/>
      <c r="D222" s="1080"/>
      <c r="E222" s="1080"/>
      <c r="F222" s="1068">
        <v>0.1</v>
      </c>
    </row>
    <row r="223" spans="1:6" ht="14.25" thickBot="1">
      <c r="A223" s="840" t="s">
        <v>527</v>
      </c>
      <c r="B223" s="834" t="s">
        <v>368</v>
      </c>
      <c r="C223" s="1067"/>
      <c r="D223" s="1080"/>
      <c r="E223" s="1080"/>
      <c r="F223" s="1068">
        <v>0.15</v>
      </c>
    </row>
    <row r="224" spans="1:6" ht="14.25" thickBot="1">
      <c r="A224" s="840" t="s">
        <v>527</v>
      </c>
      <c r="B224" s="834" t="s">
        <v>378</v>
      </c>
      <c r="C224" s="1067"/>
      <c r="D224" s="1080"/>
      <c r="E224" s="1080"/>
      <c r="F224" s="1068">
        <v>0.15</v>
      </c>
    </row>
    <row r="225" spans="1:6" ht="14.25" thickBot="1">
      <c r="A225" s="840" t="s">
        <v>527</v>
      </c>
      <c r="B225" s="834" t="s">
        <v>950</v>
      </c>
      <c r="C225" s="1067">
        <v>0.15</v>
      </c>
      <c r="D225" s="1067">
        <v>0.15</v>
      </c>
      <c r="E225" s="1067">
        <v>0.15</v>
      </c>
      <c r="F225" s="1068">
        <v>0.15</v>
      </c>
    </row>
    <row r="226" spans="1:6" ht="14.25" thickBot="1">
      <c r="A226" s="840" t="s">
        <v>527</v>
      </c>
      <c r="B226" s="834" t="s">
        <v>396</v>
      </c>
      <c r="C226" s="1067">
        <v>0.15</v>
      </c>
      <c r="D226" s="1067">
        <v>0.15</v>
      </c>
      <c r="E226" s="1067">
        <v>0.15</v>
      </c>
      <c r="F226" s="1068">
        <v>0.14799999999999999</v>
      </c>
    </row>
    <row r="227" spans="1:6" ht="14.25" thickBot="1">
      <c r="A227" s="840" t="s">
        <v>527</v>
      </c>
      <c r="B227" s="834" t="s">
        <v>951</v>
      </c>
      <c r="C227" s="1067">
        <v>0.15</v>
      </c>
      <c r="D227" s="1067">
        <v>0.15</v>
      </c>
      <c r="E227" s="1067">
        <v>0.15</v>
      </c>
      <c r="F227" s="1068">
        <v>0.15</v>
      </c>
    </row>
    <row r="228" spans="1:6" ht="14.25" thickBot="1">
      <c r="A228" s="840" t="s">
        <v>527</v>
      </c>
      <c r="B228" s="834" t="s">
        <v>411</v>
      </c>
      <c r="C228" s="1067">
        <v>0.15</v>
      </c>
      <c r="D228" s="1067">
        <v>0.15</v>
      </c>
      <c r="E228" s="1067">
        <v>0.15</v>
      </c>
      <c r="F228" s="1068">
        <v>0.15</v>
      </c>
    </row>
    <row r="229" spans="1:6" ht="14.25" thickBot="1">
      <c r="A229" s="840" t="s">
        <v>527</v>
      </c>
      <c r="B229" s="834" t="s">
        <v>418</v>
      </c>
      <c r="C229" s="1067">
        <v>0.15</v>
      </c>
      <c r="D229" s="1067">
        <v>0.15</v>
      </c>
      <c r="E229" s="1067">
        <v>0.15</v>
      </c>
      <c r="F229" s="1079"/>
    </row>
    <row r="230" spans="1:6" ht="14.25" thickBot="1">
      <c r="A230" s="840" t="s">
        <v>527</v>
      </c>
      <c r="B230" s="834" t="s">
        <v>425</v>
      </c>
      <c r="C230" s="1067">
        <v>0.14499999999999999</v>
      </c>
      <c r="D230" s="1067">
        <v>0.14499999999999999</v>
      </c>
      <c r="E230" s="1067">
        <v>0.14399999999999999</v>
      </c>
      <c r="F230" s="1079"/>
    </row>
    <row r="231" spans="1:6" ht="14.25" thickBot="1">
      <c r="A231" s="840" t="s">
        <v>527</v>
      </c>
      <c r="B231" s="834" t="s">
        <v>952</v>
      </c>
      <c r="C231" s="1067">
        <v>0.128</v>
      </c>
      <c r="D231" s="1067">
        <v>0.125</v>
      </c>
      <c r="E231" s="1067">
        <v>0.13200000000000001</v>
      </c>
      <c r="F231" s="1079"/>
    </row>
    <row r="232" spans="1:6" ht="14.25" thickBot="1">
      <c r="A232" s="840" t="s">
        <v>527</v>
      </c>
      <c r="B232" s="834" t="s">
        <v>953</v>
      </c>
      <c r="C232" s="1067">
        <v>0.14499999999999999</v>
      </c>
      <c r="D232" s="1067">
        <v>0.14399999999999999</v>
      </c>
      <c r="E232" s="1067">
        <v>0.14599999999999999</v>
      </c>
      <c r="F232" s="1068">
        <v>0.13800000000000001</v>
      </c>
    </row>
    <row r="233" spans="1:6" ht="14.25" thickBot="1">
      <c r="A233" s="840" t="s">
        <v>527</v>
      </c>
      <c r="B233" s="834" t="s">
        <v>954</v>
      </c>
      <c r="C233" s="1067">
        <v>0.14499999999999999</v>
      </c>
      <c r="D233" s="1067">
        <v>0.14299999999999999</v>
      </c>
      <c r="E233" s="1067">
        <v>0.14199999999999999</v>
      </c>
      <c r="F233" s="1079"/>
    </row>
    <row r="234" spans="1:6" ht="14.25" thickBot="1">
      <c r="A234" s="840" t="s">
        <v>527</v>
      </c>
      <c r="B234" s="834" t="s">
        <v>955</v>
      </c>
      <c r="C234" s="1067">
        <v>0.14000000000000001</v>
      </c>
      <c r="D234" s="1067">
        <v>0.14000000000000001</v>
      </c>
      <c r="E234" s="1067">
        <v>0.14399999999999999</v>
      </c>
      <c r="F234" s="1079"/>
    </row>
    <row r="235" spans="1:6" ht="14.25" thickBot="1">
      <c r="A235" s="840" t="s">
        <v>527</v>
      </c>
      <c r="B235" s="834" t="s">
        <v>956</v>
      </c>
      <c r="C235" s="1067">
        <v>0.14099999999999999</v>
      </c>
      <c r="D235" s="1067">
        <v>0.14199999999999999</v>
      </c>
      <c r="E235" s="1067">
        <v>0.14499999999999999</v>
      </c>
      <c r="F235" s="1068">
        <v>0.15</v>
      </c>
    </row>
    <row r="236" spans="1:6" ht="14.25" thickBot="1">
      <c r="A236" s="840" t="s">
        <v>527</v>
      </c>
      <c r="B236" s="834" t="s">
        <v>460</v>
      </c>
      <c r="C236" s="1080"/>
      <c r="D236" s="1080"/>
      <c r="E236" s="1080"/>
      <c r="F236" s="1068">
        <v>0.14299999999999999</v>
      </c>
    </row>
    <row r="237" spans="1:6" ht="24.75" thickBot="1">
      <c r="A237" s="840" t="s">
        <v>527</v>
      </c>
      <c r="B237" s="834" t="s">
        <v>957</v>
      </c>
      <c r="C237" s="1080"/>
      <c r="D237" s="1080"/>
      <c r="E237" s="1080"/>
      <c r="F237" s="1068">
        <v>0.05</v>
      </c>
    </row>
    <row r="238" spans="1:6" ht="24.75" thickBot="1">
      <c r="A238" s="840" t="s">
        <v>527</v>
      </c>
      <c r="B238" s="834" t="s">
        <v>958</v>
      </c>
      <c r="C238" s="1080"/>
      <c r="D238" s="1080"/>
      <c r="E238" s="1080"/>
      <c r="F238" s="1068">
        <v>0.05</v>
      </c>
    </row>
    <row r="239" spans="1:6" ht="24.75" thickBot="1">
      <c r="A239" s="840" t="s">
        <v>527</v>
      </c>
      <c r="B239" s="834" t="s">
        <v>959</v>
      </c>
      <c r="C239" s="1080"/>
      <c r="D239" s="1080"/>
      <c r="E239" s="1080"/>
      <c r="F239" s="1068">
        <v>0.05</v>
      </c>
    </row>
    <row r="240" spans="1:6" ht="24.75" thickBot="1">
      <c r="A240" s="840" t="s">
        <v>527</v>
      </c>
      <c r="B240" s="834" t="s">
        <v>960</v>
      </c>
      <c r="C240" s="1080"/>
      <c r="D240" s="1080"/>
      <c r="E240" s="1080"/>
      <c r="F240" s="1068">
        <v>0.05</v>
      </c>
    </row>
    <row r="241" spans="1:6" ht="24.75" thickBot="1">
      <c r="A241" s="840" t="s">
        <v>527</v>
      </c>
      <c r="B241" s="834" t="s">
        <v>961</v>
      </c>
      <c r="C241" s="1080"/>
      <c r="D241" s="1080"/>
      <c r="E241" s="1080"/>
      <c r="F241" s="1068">
        <v>0.05</v>
      </c>
    </row>
    <row r="242" spans="1:6" ht="24.75" thickBot="1">
      <c r="A242" s="840" t="s">
        <v>527</v>
      </c>
      <c r="B242" s="834" t="s">
        <v>962</v>
      </c>
      <c r="C242" s="1080"/>
      <c r="D242" s="1080"/>
      <c r="E242" s="1080"/>
      <c r="F242" s="1068">
        <v>0.05</v>
      </c>
    </row>
    <row r="243" spans="1:6" ht="24.75" thickBot="1">
      <c r="A243" s="840" t="s">
        <v>527</v>
      </c>
      <c r="B243" s="834" t="s">
        <v>963</v>
      </c>
      <c r="C243" s="1080"/>
      <c r="D243" s="1080"/>
      <c r="E243" s="1080"/>
      <c r="F243" s="1068">
        <v>0.05</v>
      </c>
    </row>
    <row r="244" spans="1:6" ht="24.75" thickBot="1">
      <c r="A244" s="850" t="s">
        <v>527</v>
      </c>
      <c r="B244" s="846" t="s">
        <v>964</v>
      </c>
      <c r="C244" s="1077"/>
      <c r="D244" s="1077"/>
      <c r="E244" s="1077"/>
      <c r="F244" s="1070">
        <v>0.05</v>
      </c>
    </row>
    <row r="245" spans="1:6" ht="14.25" thickBot="1">
      <c r="A245" s="840" t="s">
        <v>529</v>
      </c>
      <c r="B245" s="841" t="s">
        <v>965</v>
      </c>
      <c r="C245" s="1065">
        <v>0.15</v>
      </c>
      <c r="D245" s="1065">
        <v>0.15</v>
      </c>
      <c r="E245" s="1065">
        <v>0.15</v>
      </c>
      <c r="F245" s="1066">
        <v>0.14299999999999999</v>
      </c>
    </row>
    <row r="246" spans="1:6" ht="14.25" thickBot="1">
      <c r="A246" s="840" t="s">
        <v>529</v>
      </c>
      <c r="B246" s="834" t="s">
        <v>194</v>
      </c>
      <c r="C246" s="1067">
        <v>0.15</v>
      </c>
      <c r="D246" s="1067">
        <v>0.15</v>
      </c>
      <c r="E246" s="1067">
        <v>0.15</v>
      </c>
      <c r="F246" s="1068">
        <v>0.114</v>
      </c>
    </row>
    <row r="247" spans="1:6" ht="14.25" thickBot="1">
      <c r="A247" s="840" t="s">
        <v>529</v>
      </c>
      <c r="B247" s="834" t="s">
        <v>966</v>
      </c>
      <c r="C247" s="1067">
        <v>0.15</v>
      </c>
      <c r="D247" s="1067">
        <v>0.15</v>
      </c>
      <c r="E247" s="1067">
        <v>0.15</v>
      </c>
      <c r="F247" s="1068">
        <v>0.15</v>
      </c>
    </row>
    <row r="248" spans="1:6" ht="14.25" thickBot="1">
      <c r="A248" s="840" t="s">
        <v>529</v>
      </c>
      <c r="B248" s="834" t="s">
        <v>967</v>
      </c>
      <c r="C248" s="1067">
        <v>0.15</v>
      </c>
      <c r="D248" s="1067">
        <v>0.15</v>
      </c>
      <c r="E248" s="1067">
        <v>0.15</v>
      </c>
      <c r="F248" s="1068">
        <v>0.14000000000000001</v>
      </c>
    </row>
    <row r="249" spans="1:6" ht="14.25" thickBot="1">
      <c r="A249" s="840" t="s">
        <v>529</v>
      </c>
      <c r="B249" s="834" t="s">
        <v>968</v>
      </c>
      <c r="C249" s="1067">
        <v>0.15</v>
      </c>
      <c r="D249" s="1067">
        <v>0.14899999999999999</v>
      </c>
      <c r="E249" s="1067">
        <v>0.15</v>
      </c>
      <c r="F249" s="1068">
        <v>0.1</v>
      </c>
    </row>
    <row r="250" spans="1:6" ht="14.25" thickBot="1">
      <c r="A250" s="840" t="s">
        <v>529</v>
      </c>
      <c r="B250" s="834" t="s">
        <v>969</v>
      </c>
      <c r="C250" s="1067">
        <v>0.15</v>
      </c>
      <c r="D250" s="1067">
        <v>0.15</v>
      </c>
      <c r="E250" s="1067">
        <v>0.15</v>
      </c>
      <c r="F250" s="1068">
        <v>0.14399999999999999</v>
      </c>
    </row>
    <row r="251" spans="1:6" ht="14.25" thickBot="1">
      <c r="A251" s="840" t="s">
        <v>529</v>
      </c>
      <c r="B251" s="834" t="s">
        <v>254</v>
      </c>
      <c r="C251" s="1067">
        <v>0.15</v>
      </c>
      <c r="D251" s="1067">
        <v>0.15</v>
      </c>
      <c r="E251" s="1067">
        <v>0.15</v>
      </c>
      <c r="F251" s="1068">
        <v>0.14299999999999999</v>
      </c>
    </row>
    <row r="252" spans="1:6" ht="14.25" thickBot="1">
      <c r="A252" s="840" t="s">
        <v>529</v>
      </c>
      <c r="B252" s="834" t="s">
        <v>265</v>
      </c>
      <c r="C252" s="1067">
        <v>0.15</v>
      </c>
      <c r="D252" s="1067">
        <v>0.15</v>
      </c>
      <c r="E252" s="1067">
        <v>0.15</v>
      </c>
      <c r="F252" s="1068">
        <v>0.1</v>
      </c>
    </row>
    <row r="253" spans="1:6" ht="14.25" thickBot="1">
      <c r="A253" s="840" t="s">
        <v>529</v>
      </c>
      <c r="B253" s="834" t="s">
        <v>277</v>
      </c>
      <c r="C253" s="1067">
        <v>0.15</v>
      </c>
      <c r="D253" s="1067">
        <v>0.15</v>
      </c>
      <c r="E253" s="1067">
        <v>0.15</v>
      </c>
      <c r="F253" s="1068">
        <v>0.1</v>
      </c>
    </row>
    <row r="254" spans="1:6" ht="14.25" thickBot="1">
      <c r="A254" s="840" t="s">
        <v>529</v>
      </c>
      <c r="B254" s="834" t="s">
        <v>287</v>
      </c>
      <c r="C254" s="1080"/>
      <c r="D254" s="1080"/>
      <c r="E254" s="1080"/>
      <c r="F254" s="1068">
        <v>0.15</v>
      </c>
    </row>
    <row r="255" spans="1:6" ht="14.25" thickBot="1">
      <c r="A255" s="840" t="s">
        <v>529</v>
      </c>
      <c r="B255" s="834" t="s">
        <v>297</v>
      </c>
      <c r="C255" s="1080"/>
      <c r="D255" s="1080"/>
      <c r="E255" s="1080"/>
      <c r="F255" s="1068">
        <v>0.14299999999999999</v>
      </c>
    </row>
    <row r="256" spans="1:6" ht="14.25" thickBot="1">
      <c r="A256" s="840" t="s">
        <v>529</v>
      </c>
      <c r="B256" s="834" t="s">
        <v>970</v>
      </c>
      <c r="C256" s="1067">
        <v>0.14599999999999999</v>
      </c>
      <c r="D256" s="1067">
        <v>0.14699999999999999</v>
      </c>
      <c r="E256" s="1067">
        <v>0.15</v>
      </c>
      <c r="F256" s="1068">
        <v>0.13200000000000001</v>
      </c>
    </row>
    <row r="257" spans="1:6" ht="14.25" thickBot="1">
      <c r="A257" s="840" t="s">
        <v>529</v>
      </c>
      <c r="B257" s="834" t="s">
        <v>317</v>
      </c>
      <c r="C257" s="1067">
        <v>0.15</v>
      </c>
      <c r="D257" s="1067">
        <v>0.15</v>
      </c>
      <c r="E257" s="1067">
        <v>0.15</v>
      </c>
      <c r="F257" s="1068">
        <v>0.13900000000000001</v>
      </c>
    </row>
    <row r="258" spans="1:6" ht="14.25" thickBot="1">
      <c r="A258" s="840" t="s">
        <v>529</v>
      </c>
      <c r="B258" s="834" t="s">
        <v>328</v>
      </c>
      <c r="C258" s="1067">
        <v>0.15</v>
      </c>
      <c r="D258" s="1067">
        <v>0.15</v>
      </c>
      <c r="E258" s="1067">
        <v>0.15</v>
      </c>
      <c r="F258" s="1068">
        <v>0.13</v>
      </c>
    </row>
    <row r="259" spans="1:6" ht="14.25" thickBot="1">
      <c r="A259" s="840" t="s">
        <v>529</v>
      </c>
      <c r="B259" s="834" t="s">
        <v>971</v>
      </c>
      <c r="C259" s="1067">
        <v>0.14799999999999999</v>
      </c>
      <c r="D259" s="1067">
        <v>0.14899999999999999</v>
      </c>
      <c r="E259" s="1067">
        <v>0.15</v>
      </c>
      <c r="F259" s="1068">
        <v>0.13700000000000001</v>
      </c>
    </row>
    <row r="260" spans="1:6" ht="14.25" thickBot="1">
      <c r="A260" s="840" t="s">
        <v>529</v>
      </c>
      <c r="B260" s="834" t="s">
        <v>349</v>
      </c>
      <c r="C260" s="1067">
        <v>0.15</v>
      </c>
      <c r="D260" s="1067">
        <v>0.15</v>
      </c>
      <c r="E260" s="1067">
        <v>0.15</v>
      </c>
      <c r="F260" s="1068">
        <v>0.14199999999999999</v>
      </c>
    </row>
    <row r="261" spans="1:6" ht="14.25" thickBot="1">
      <c r="A261" s="840" t="s">
        <v>529</v>
      </c>
      <c r="B261" s="834" t="s">
        <v>359</v>
      </c>
      <c r="C261" s="1067">
        <v>0.15</v>
      </c>
      <c r="D261" s="1067">
        <v>0.15</v>
      </c>
      <c r="E261" s="1067">
        <v>0.14899999999999999</v>
      </c>
      <c r="F261" s="1068">
        <v>0.14799999999999999</v>
      </c>
    </row>
    <row r="262" spans="1:6" ht="14.25" thickBot="1">
      <c r="A262" s="840" t="s">
        <v>529</v>
      </c>
      <c r="B262" s="834" t="s">
        <v>369</v>
      </c>
      <c r="C262" s="1067">
        <v>0.15</v>
      </c>
      <c r="D262" s="1067">
        <v>0.15</v>
      </c>
      <c r="E262" s="1067">
        <v>0.15</v>
      </c>
      <c r="F262" s="1079"/>
    </row>
    <row r="263" spans="1:6" ht="14.25" thickBot="1">
      <c r="A263" s="840" t="s">
        <v>529</v>
      </c>
      <c r="B263" s="834" t="s">
        <v>972</v>
      </c>
      <c r="C263" s="1067">
        <v>0.14899999999999999</v>
      </c>
      <c r="D263" s="1067">
        <v>0.14899999999999999</v>
      </c>
      <c r="E263" s="1067">
        <v>0.15</v>
      </c>
      <c r="F263" s="1068">
        <v>0.13</v>
      </c>
    </row>
    <row r="264" spans="1:6" ht="14.25" thickBot="1">
      <c r="A264" s="840" t="s">
        <v>529</v>
      </c>
      <c r="B264" s="834" t="s">
        <v>388</v>
      </c>
      <c r="C264" s="1067">
        <v>0.14799999999999999</v>
      </c>
      <c r="D264" s="1067">
        <v>0.14699999999999999</v>
      </c>
      <c r="E264" s="1067">
        <v>0.15</v>
      </c>
      <c r="F264" s="1068">
        <v>7.8E-2</v>
      </c>
    </row>
    <row r="265" spans="1:6" ht="14.25" thickBot="1">
      <c r="A265" s="840" t="s">
        <v>529</v>
      </c>
      <c r="B265" s="834" t="s">
        <v>397</v>
      </c>
      <c r="C265" s="1067">
        <v>0.15</v>
      </c>
      <c r="D265" s="1067">
        <v>0.15</v>
      </c>
      <c r="E265" s="1067">
        <v>0.15</v>
      </c>
      <c r="F265" s="1068">
        <v>7.3999999999999996E-2</v>
      </c>
    </row>
    <row r="266" spans="1:6" ht="14.25" thickBot="1">
      <c r="A266" s="840" t="s">
        <v>529</v>
      </c>
      <c r="B266" s="834" t="s">
        <v>405</v>
      </c>
      <c r="C266" s="1067">
        <v>0.14699999999999999</v>
      </c>
      <c r="D266" s="1067">
        <v>0.14699999999999999</v>
      </c>
      <c r="E266" s="1067">
        <v>0.15</v>
      </c>
      <c r="F266" s="1068">
        <v>0.14299999999999999</v>
      </c>
    </row>
    <row r="267" spans="1:6" ht="14.25" thickBot="1">
      <c r="A267" s="840" t="s">
        <v>529</v>
      </c>
      <c r="B267" s="834" t="s">
        <v>412</v>
      </c>
      <c r="C267" s="1067">
        <v>0.14199999999999999</v>
      </c>
      <c r="D267" s="1067">
        <v>0.14299999999999999</v>
      </c>
      <c r="E267" s="1067">
        <v>0.15</v>
      </c>
      <c r="F267" s="1079"/>
    </row>
    <row r="268" spans="1:6" ht="14.25" thickBot="1">
      <c r="A268" s="840" t="s">
        <v>529</v>
      </c>
      <c r="B268" s="834" t="s">
        <v>973</v>
      </c>
      <c r="C268" s="1067">
        <v>0.15</v>
      </c>
      <c r="D268" s="1067">
        <v>0.15</v>
      </c>
      <c r="E268" s="1067">
        <v>0.15</v>
      </c>
      <c r="F268" s="1068">
        <v>0.13</v>
      </c>
    </row>
    <row r="269" spans="1:6" ht="14.25" thickBot="1">
      <c r="A269" s="840" t="s">
        <v>529</v>
      </c>
      <c r="B269" s="834" t="s">
        <v>426</v>
      </c>
      <c r="C269" s="1067">
        <v>0.15</v>
      </c>
      <c r="D269" s="1067">
        <v>0.15</v>
      </c>
      <c r="E269" s="1067">
        <v>0.15</v>
      </c>
      <c r="F269" s="1068">
        <v>0.14299999999999999</v>
      </c>
    </row>
    <row r="270" spans="1:6" ht="14.25" thickBot="1">
      <c r="A270" s="840" t="s">
        <v>529</v>
      </c>
      <c r="B270" s="834" t="s">
        <v>433</v>
      </c>
      <c r="C270" s="1067">
        <v>0.14499999999999999</v>
      </c>
      <c r="D270" s="1067">
        <v>0.14499999999999999</v>
      </c>
      <c r="E270" s="1067">
        <v>0.15</v>
      </c>
      <c r="F270" s="1068">
        <v>0.14699999999999999</v>
      </c>
    </row>
    <row r="271" spans="1:6" ht="14.25" thickBot="1">
      <c r="A271" s="840" t="s">
        <v>529</v>
      </c>
      <c r="B271" s="834" t="s">
        <v>440</v>
      </c>
      <c r="C271" s="1067">
        <v>0.15</v>
      </c>
      <c r="D271" s="1067">
        <v>0.15</v>
      </c>
      <c r="E271" s="1067">
        <v>0.15</v>
      </c>
      <c r="F271" s="1068">
        <v>0.13800000000000001</v>
      </c>
    </row>
    <row r="272" spans="1:6" ht="14.25" thickBot="1">
      <c r="A272" s="840" t="s">
        <v>529</v>
      </c>
      <c r="B272" s="834" t="s">
        <v>447</v>
      </c>
      <c r="C272" s="1080"/>
      <c r="D272" s="1080"/>
      <c r="E272" s="1080"/>
      <c r="F272" s="1068">
        <v>0.14000000000000001</v>
      </c>
    </row>
    <row r="273" spans="1:6" ht="14.25" thickBot="1">
      <c r="A273" s="840" t="s">
        <v>529</v>
      </c>
      <c r="B273" s="834" t="s">
        <v>974</v>
      </c>
      <c r="C273" s="1067">
        <v>0.14199999999999999</v>
      </c>
      <c r="D273" s="1067">
        <v>0.14299999999999999</v>
      </c>
      <c r="E273" s="1067">
        <v>0.15</v>
      </c>
      <c r="F273" s="1068">
        <v>0.1</v>
      </c>
    </row>
    <row r="274" spans="1:6" ht="14.25" thickBot="1">
      <c r="A274" s="840" t="s">
        <v>529</v>
      </c>
      <c r="B274" s="834" t="s">
        <v>975</v>
      </c>
      <c r="C274" s="1067">
        <v>0.14799999999999999</v>
      </c>
      <c r="D274" s="1067">
        <v>0.14799999999999999</v>
      </c>
      <c r="E274" s="1067">
        <v>0.15</v>
      </c>
      <c r="F274" s="1068">
        <v>6.7000000000000004E-2</v>
      </c>
    </row>
    <row r="275" spans="1:6" ht="14.25" thickBot="1">
      <c r="A275" s="840" t="s">
        <v>529</v>
      </c>
      <c r="B275" s="834" t="s">
        <v>976</v>
      </c>
      <c r="C275" s="1067">
        <v>0.15</v>
      </c>
      <c r="D275" s="1067">
        <v>0.15</v>
      </c>
      <c r="E275" s="1067">
        <v>0.15</v>
      </c>
      <c r="F275" s="1068">
        <v>0.15</v>
      </c>
    </row>
    <row r="276" spans="1:6" ht="14.25" thickBot="1">
      <c r="A276" s="840" t="s">
        <v>529</v>
      </c>
      <c r="B276" s="834" t="s">
        <v>977</v>
      </c>
      <c r="C276" s="1067">
        <v>0.14499999999999999</v>
      </c>
      <c r="D276" s="1067">
        <v>0.14299999999999999</v>
      </c>
      <c r="E276" s="1067">
        <v>0.15</v>
      </c>
      <c r="F276" s="1068">
        <v>5.8999999999999997E-2</v>
      </c>
    </row>
    <row r="277" spans="1:6" ht="14.25" thickBot="1">
      <c r="A277" s="840" t="s">
        <v>529</v>
      </c>
      <c r="B277" s="834" t="s">
        <v>978</v>
      </c>
      <c r="C277" s="1067">
        <v>0.15</v>
      </c>
      <c r="D277" s="1067">
        <v>0.15</v>
      </c>
      <c r="E277" s="1067">
        <v>0.15</v>
      </c>
      <c r="F277" s="1068">
        <v>0.121</v>
      </c>
    </row>
    <row r="278" spans="1:6" ht="14.25" thickBot="1">
      <c r="A278" s="840" t="s">
        <v>529</v>
      </c>
      <c r="B278" s="834" t="s">
        <v>979</v>
      </c>
      <c r="C278" s="1067">
        <v>0.15</v>
      </c>
      <c r="D278" s="1067">
        <v>0.15</v>
      </c>
      <c r="E278" s="1067">
        <v>0.15</v>
      </c>
      <c r="F278" s="1068">
        <v>0.13800000000000001</v>
      </c>
    </row>
    <row r="279" spans="1:6" ht="24.75" thickBot="1">
      <c r="A279" s="840" t="s">
        <v>529</v>
      </c>
      <c r="B279" s="834" t="s">
        <v>980</v>
      </c>
      <c r="C279" s="1080"/>
      <c r="D279" s="1080"/>
      <c r="E279" s="1080"/>
      <c r="F279" s="1068">
        <v>0.05</v>
      </c>
    </row>
    <row r="280" spans="1:6" ht="24.75" thickBot="1">
      <c r="A280" s="840" t="s">
        <v>529</v>
      </c>
      <c r="B280" s="834" t="s">
        <v>981</v>
      </c>
      <c r="C280" s="1080"/>
      <c r="D280" s="1080"/>
      <c r="E280" s="1080"/>
      <c r="F280" s="1068">
        <v>0.05</v>
      </c>
    </row>
    <row r="281" spans="1:6" ht="24.75" thickBot="1">
      <c r="A281" s="840" t="s">
        <v>529</v>
      </c>
      <c r="B281" s="834" t="s">
        <v>982</v>
      </c>
      <c r="C281" s="1080"/>
      <c r="D281" s="1080"/>
      <c r="E281" s="1080"/>
      <c r="F281" s="1068">
        <v>0.05</v>
      </c>
    </row>
    <row r="282" spans="1:6" ht="24.75" thickBot="1">
      <c r="A282" s="840" t="s">
        <v>529</v>
      </c>
      <c r="B282" s="834" t="s">
        <v>983</v>
      </c>
      <c r="C282" s="1080"/>
      <c r="D282" s="1080"/>
      <c r="E282" s="1080"/>
      <c r="F282" s="1068">
        <v>0.05</v>
      </c>
    </row>
    <row r="283" spans="1:6" ht="24.75" thickBot="1">
      <c r="A283" s="840" t="s">
        <v>529</v>
      </c>
      <c r="B283" s="834" t="s">
        <v>984</v>
      </c>
      <c r="C283" s="1080"/>
      <c r="D283" s="1080"/>
      <c r="E283" s="1080"/>
      <c r="F283" s="1068">
        <v>0.05</v>
      </c>
    </row>
    <row r="284" spans="1:6" ht="24.75" thickBot="1">
      <c r="A284" s="840" t="s">
        <v>529</v>
      </c>
      <c r="B284" s="834" t="s">
        <v>985</v>
      </c>
      <c r="C284" s="1080"/>
      <c r="D284" s="1080"/>
      <c r="E284" s="1080"/>
      <c r="F284" s="1068">
        <v>0.05</v>
      </c>
    </row>
    <row r="285" spans="1:6" ht="24.75" thickBot="1">
      <c r="A285" s="840" t="s">
        <v>529</v>
      </c>
      <c r="B285" s="834" t="s">
        <v>986</v>
      </c>
      <c r="C285" s="1080"/>
      <c r="D285" s="1080"/>
      <c r="E285" s="1080"/>
      <c r="F285" s="1068">
        <v>0.05</v>
      </c>
    </row>
    <row r="286" spans="1:6" ht="24.75" thickBot="1">
      <c r="A286" s="840" t="s">
        <v>529</v>
      </c>
      <c r="B286" s="834" t="s">
        <v>987</v>
      </c>
      <c r="C286" s="1080"/>
      <c r="D286" s="1080"/>
      <c r="E286" s="1080"/>
      <c r="F286" s="1068">
        <v>0.05</v>
      </c>
    </row>
    <row r="287" spans="1:6" ht="24.75" thickBot="1">
      <c r="A287" s="840" t="s">
        <v>529</v>
      </c>
      <c r="B287" s="834" t="s">
        <v>988</v>
      </c>
      <c r="C287" s="1080"/>
      <c r="D287" s="1080"/>
      <c r="E287" s="1080"/>
      <c r="F287" s="1068">
        <v>0.05</v>
      </c>
    </row>
    <row r="288" spans="1:6" ht="24.75" thickBot="1">
      <c r="A288" s="840" t="s">
        <v>529</v>
      </c>
      <c r="B288" s="834" t="s">
        <v>989</v>
      </c>
      <c r="C288" s="1080"/>
      <c r="D288" s="1080"/>
      <c r="E288" s="1080"/>
      <c r="F288" s="1068">
        <v>0.05</v>
      </c>
    </row>
    <row r="289" spans="1:6" ht="24.75" thickBot="1">
      <c r="A289" s="850" t="s">
        <v>529</v>
      </c>
      <c r="B289" s="846" t="s">
        <v>990</v>
      </c>
      <c r="C289" s="1077"/>
      <c r="D289" s="1077"/>
      <c r="E289" s="1077"/>
      <c r="F289" s="1070">
        <v>0.05</v>
      </c>
    </row>
    <row r="290" spans="1:6" ht="14.25" thickBot="1">
      <c r="A290" s="840" t="s">
        <v>533</v>
      </c>
      <c r="B290" s="841" t="s">
        <v>991</v>
      </c>
      <c r="C290" s="1065">
        <v>0.15</v>
      </c>
      <c r="D290" s="1065">
        <v>0.15</v>
      </c>
      <c r="E290" s="1065">
        <v>0.15</v>
      </c>
      <c r="F290" s="1082"/>
    </row>
    <row r="291" spans="1:6" ht="14.25" thickBot="1">
      <c r="A291" s="840" t="s">
        <v>533</v>
      </c>
      <c r="B291" s="834" t="s">
        <v>195</v>
      </c>
      <c r="C291" s="1067">
        <v>0.15</v>
      </c>
      <c r="D291" s="1067">
        <v>0.15</v>
      </c>
      <c r="E291" s="1067">
        <v>0.15</v>
      </c>
      <c r="F291" s="1079"/>
    </row>
    <row r="292" spans="1:6" ht="14.25" thickBot="1">
      <c r="A292" s="840" t="s">
        <v>533</v>
      </c>
      <c r="B292" s="834" t="s">
        <v>992</v>
      </c>
      <c r="C292" s="1067">
        <v>0.15</v>
      </c>
      <c r="D292" s="1067">
        <v>0.15</v>
      </c>
      <c r="E292" s="1067">
        <v>0.15</v>
      </c>
      <c r="F292" s="1068">
        <v>0.14699999999999999</v>
      </c>
    </row>
    <row r="293" spans="1:6" ht="14.25" thickBot="1">
      <c r="A293" s="840" t="s">
        <v>533</v>
      </c>
      <c r="B293" s="834" t="s">
        <v>993</v>
      </c>
      <c r="C293" s="1080"/>
      <c r="D293" s="1080"/>
      <c r="E293" s="1080"/>
      <c r="F293" s="1068">
        <v>0.1</v>
      </c>
    </row>
    <row r="294" spans="1:6" ht="14.25" thickBot="1">
      <c r="A294" s="840" t="s">
        <v>533</v>
      </c>
      <c r="B294" s="834" t="s">
        <v>994</v>
      </c>
      <c r="C294" s="1067">
        <v>0.15</v>
      </c>
      <c r="D294" s="1067">
        <v>0.15</v>
      </c>
      <c r="E294" s="1067">
        <v>0.15</v>
      </c>
      <c r="F294" s="1068">
        <v>0.15</v>
      </c>
    </row>
    <row r="295" spans="1:6" ht="14.25" thickBot="1">
      <c r="A295" s="840" t="s">
        <v>533</v>
      </c>
      <c r="B295" s="834" t="s">
        <v>233</v>
      </c>
      <c r="C295" s="1067">
        <v>0.15</v>
      </c>
      <c r="D295" s="1067">
        <v>0.15</v>
      </c>
      <c r="E295" s="1067">
        <v>0.15</v>
      </c>
      <c r="F295" s="1068">
        <v>0.15</v>
      </c>
    </row>
    <row r="296" spans="1:6" ht="14.25" thickBot="1">
      <c r="A296" s="840" t="s">
        <v>533</v>
      </c>
      <c r="B296" s="834" t="s">
        <v>995</v>
      </c>
      <c r="C296" s="1067">
        <v>0.15</v>
      </c>
      <c r="D296" s="1067">
        <v>0.15</v>
      </c>
      <c r="E296" s="1067">
        <v>0.15</v>
      </c>
      <c r="F296" s="1068">
        <v>0.15</v>
      </c>
    </row>
    <row r="297" spans="1:6" ht="14.25" thickBot="1">
      <c r="A297" s="840" t="s">
        <v>533</v>
      </c>
      <c r="B297" s="834" t="s">
        <v>996</v>
      </c>
      <c r="C297" s="1067">
        <v>0.14799999999999999</v>
      </c>
      <c r="D297" s="1067">
        <v>0.14899999999999999</v>
      </c>
      <c r="E297" s="1067">
        <v>0.15</v>
      </c>
      <c r="F297" s="1068">
        <v>0.13700000000000001</v>
      </c>
    </row>
    <row r="298" spans="1:6" ht="14.25" thickBot="1">
      <c r="A298" s="840" t="s">
        <v>533</v>
      </c>
      <c r="B298" s="834" t="s">
        <v>266</v>
      </c>
      <c r="C298" s="1067">
        <v>0.13400000000000001</v>
      </c>
      <c r="D298" s="1067">
        <v>0.13400000000000001</v>
      </c>
      <c r="E298" s="1067">
        <v>0.14499999999999999</v>
      </c>
      <c r="F298" s="1068">
        <v>0.14799999999999999</v>
      </c>
    </row>
    <row r="299" spans="1:6" ht="14.25" thickBot="1">
      <c r="A299" s="840" t="s">
        <v>533</v>
      </c>
      <c r="B299" s="834" t="s">
        <v>278</v>
      </c>
      <c r="C299" s="1067">
        <v>0.15</v>
      </c>
      <c r="D299" s="1067">
        <v>0.15</v>
      </c>
      <c r="E299" s="1067">
        <v>0.15</v>
      </c>
      <c r="F299" s="1079"/>
    </row>
    <row r="300" spans="1:6" ht="14.25" thickBot="1">
      <c r="A300" s="840" t="s">
        <v>533</v>
      </c>
      <c r="B300" s="834" t="s">
        <v>997</v>
      </c>
      <c r="C300" s="1067">
        <v>0.15</v>
      </c>
      <c r="D300" s="1067">
        <v>0.15</v>
      </c>
      <c r="E300" s="1067">
        <v>0.15</v>
      </c>
      <c r="F300" s="1068">
        <v>0.15</v>
      </c>
    </row>
    <row r="301" spans="1:6" ht="14.25" thickBot="1">
      <c r="A301" s="840" t="s">
        <v>533</v>
      </c>
      <c r="B301" s="834" t="s">
        <v>298</v>
      </c>
      <c r="C301" s="1067">
        <v>0.15</v>
      </c>
      <c r="D301" s="1067">
        <v>0.15</v>
      </c>
      <c r="E301" s="1067">
        <v>0.15</v>
      </c>
      <c r="F301" s="1079"/>
    </row>
    <row r="302" spans="1:6" ht="14.25" thickBot="1">
      <c r="A302" s="840" t="s">
        <v>533</v>
      </c>
      <c r="B302" s="834" t="s">
        <v>998</v>
      </c>
      <c r="C302" s="1067">
        <v>0.15</v>
      </c>
      <c r="D302" s="1067">
        <v>0.15</v>
      </c>
      <c r="E302" s="1067">
        <v>0.15</v>
      </c>
      <c r="F302" s="1068">
        <v>0.15</v>
      </c>
    </row>
    <row r="303" spans="1:6" ht="14.25" thickBot="1">
      <c r="A303" s="840" t="s">
        <v>533</v>
      </c>
      <c r="B303" s="834" t="s">
        <v>318</v>
      </c>
      <c r="C303" s="1067">
        <v>0.15</v>
      </c>
      <c r="D303" s="1067">
        <v>0.15</v>
      </c>
      <c r="E303" s="1067">
        <v>0.15</v>
      </c>
      <c r="F303" s="1068">
        <v>0.15</v>
      </c>
    </row>
    <row r="304" spans="1:6" ht="14.25" thickBot="1">
      <c r="A304" s="840" t="s">
        <v>533</v>
      </c>
      <c r="B304" s="834" t="s">
        <v>329</v>
      </c>
      <c r="C304" s="1067">
        <v>0.15</v>
      </c>
      <c r="D304" s="1067">
        <v>0.15</v>
      </c>
      <c r="E304" s="1067">
        <v>0.15</v>
      </c>
      <c r="F304" s="1079"/>
    </row>
    <row r="305" spans="1:6" ht="14.25" thickBot="1">
      <c r="A305" s="840" t="s">
        <v>533</v>
      </c>
      <c r="B305" s="834" t="s">
        <v>999</v>
      </c>
      <c r="C305" s="1067">
        <v>0.15</v>
      </c>
      <c r="D305" s="1067">
        <v>0.15</v>
      </c>
      <c r="E305" s="1067">
        <v>0.15</v>
      </c>
      <c r="F305" s="1068">
        <v>0.14000000000000001</v>
      </c>
    </row>
    <row r="306" spans="1:6" ht="14.25" thickBot="1">
      <c r="A306" s="840" t="s">
        <v>533</v>
      </c>
      <c r="B306" s="834" t="s">
        <v>350</v>
      </c>
      <c r="C306" s="1067">
        <v>0.15</v>
      </c>
      <c r="D306" s="1067">
        <v>0.15</v>
      </c>
      <c r="E306" s="1067">
        <v>0.15</v>
      </c>
      <c r="F306" s="1079"/>
    </row>
    <row r="307" spans="1:6" ht="14.25" thickBot="1">
      <c r="A307" s="840" t="s">
        <v>533</v>
      </c>
      <c r="B307" s="834" t="s">
        <v>1000</v>
      </c>
      <c r="C307" s="1067">
        <v>0.15</v>
      </c>
      <c r="D307" s="1067">
        <v>0.15</v>
      </c>
      <c r="E307" s="1067">
        <v>0.15</v>
      </c>
      <c r="F307" s="1068">
        <v>0.14299999999999999</v>
      </c>
    </row>
    <row r="308" spans="1:6" ht="14.25" thickBot="1">
      <c r="A308" s="840" t="s">
        <v>533</v>
      </c>
      <c r="B308" s="834" t="s">
        <v>370</v>
      </c>
      <c r="C308" s="1067">
        <v>0.15</v>
      </c>
      <c r="D308" s="1067">
        <v>0.15</v>
      </c>
      <c r="E308" s="1067">
        <v>0.15</v>
      </c>
      <c r="F308" s="1068">
        <v>0.15</v>
      </c>
    </row>
    <row r="309" spans="1:6" ht="14.25" thickBot="1">
      <c r="A309" s="840" t="s">
        <v>533</v>
      </c>
      <c r="B309" s="834" t="s">
        <v>380</v>
      </c>
      <c r="C309" s="1067">
        <v>0.15</v>
      </c>
      <c r="D309" s="1067">
        <v>0.15</v>
      </c>
      <c r="E309" s="1067">
        <v>0.15</v>
      </c>
      <c r="F309" s="1079"/>
    </row>
    <row r="310" spans="1:6" ht="14.25" thickBot="1">
      <c r="A310" s="840" t="s">
        <v>533</v>
      </c>
      <c r="B310" s="834" t="s">
        <v>1001</v>
      </c>
      <c r="C310" s="1067">
        <v>0.15</v>
      </c>
      <c r="D310" s="1067">
        <v>0.15</v>
      </c>
      <c r="E310" s="1067">
        <v>0.15</v>
      </c>
      <c r="F310" s="1068">
        <v>0.13700000000000001</v>
      </c>
    </row>
    <row r="311" spans="1:6" ht="14.25" thickBot="1">
      <c r="A311" s="840" t="s">
        <v>533</v>
      </c>
      <c r="B311" s="834" t="s">
        <v>1002</v>
      </c>
      <c r="C311" s="1067">
        <v>0.15</v>
      </c>
      <c r="D311" s="1067">
        <v>0.15</v>
      </c>
      <c r="E311" s="1067">
        <v>0.15</v>
      </c>
      <c r="F311" s="1068">
        <v>0.15</v>
      </c>
    </row>
    <row r="312" spans="1:6" ht="14.25" thickBot="1">
      <c r="A312" s="840" t="s">
        <v>533</v>
      </c>
      <c r="B312" s="834" t="s">
        <v>406</v>
      </c>
      <c r="C312" s="1067">
        <v>0.15</v>
      </c>
      <c r="D312" s="1067">
        <v>0.15</v>
      </c>
      <c r="E312" s="1067">
        <v>0.15</v>
      </c>
      <c r="F312" s="1068">
        <v>0.1</v>
      </c>
    </row>
    <row r="313" spans="1:6" ht="14.25" thickBot="1">
      <c r="A313" s="840" t="s">
        <v>533</v>
      </c>
      <c r="B313" s="834" t="s">
        <v>1003</v>
      </c>
      <c r="C313" s="1067">
        <v>0.15</v>
      </c>
      <c r="D313" s="1067">
        <v>0.15</v>
      </c>
      <c r="E313" s="1067">
        <v>0.15</v>
      </c>
      <c r="F313" s="1068">
        <v>0.15</v>
      </c>
    </row>
    <row r="314" spans="1:6" ht="24.75" thickBot="1">
      <c r="A314" s="840" t="s">
        <v>533</v>
      </c>
      <c r="B314" s="834" t="s">
        <v>1004</v>
      </c>
      <c r="C314" s="1080"/>
      <c r="D314" s="1080"/>
      <c r="E314" s="1080"/>
      <c r="F314" s="1068">
        <v>0.05</v>
      </c>
    </row>
    <row r="315" spans="1:6" ht="24.75" thickBot="1">
      <c r="A315" s="840" t="s">
        <v>533</v>
      </c>
      <c r="B315" s="834" t="s">
        <v>1005</v>
      </c>
      <c r="C315" s="1080"/>
      <c r="D315" s="1080"/>
      <c r="E315" s="1080"/>
      <c r="F315" s="1068">
        <v>0.05</v>
      </c>
    </row>
    <row r="316" spans="1:6" ht="24.75" thickBot="1">
      <c r="A316" s="850" t="s">
        <v>533</v>
      </c>
      <c r="B316" s="846" t="s">
        <v>1006</v>
      </c>
      <c r="C316" s="1077"/>
      <c r="D316" s="1077"/>
      <c r="E316" s="1077"/>
      <c r="F316" s="1070">
        <v>0.05</v>
      </c>
    </row>
    <row r="317" spans="1:6" ht="14.25" thickBot="1">
      <c r="A317" s="840" t="s">
        <v>1007</v>
      </c>
      <c r="B317" s="841" t="s">
        <v>1008</v>
      </c>
      <c r="C317" s="1065">
        <v>0.15</v>
      </c>
      <c r="D317" s="1065">
        <v>0.15</v>
      </c>
      <c r="E317" s="1065">
        <v>0.15</v>
      </c>
      <c r="F317" s="1066">
        <v>0.15</v>
      </c>
    </row>
    <row r="318" spans="1:6" ht="14.25" thickBot="1">
      <c r="A318" s="840" t="s">
        <v>1007</v>
      </c>
      <c r="B318" s="834" t="s">
        <v>1009</v>
      </c>
      <c r="C318" s="1067">
        <v>0.107</v>
      </c>
      <c r="D318" s="1067">
        <v>0.11</v>
      </c>
      <c r="E318" s="1067">
        <v>0.112</v>
      </c>
      <c r="F318" s="1079"/>
    </row>
    <row r="319" spans="1:6" ht="14.25" thickBot="1">
      <c r="A319" s="840" t="s">
        <v>1007</v>
      </c>
      <c r="B319" s="834" t="s">
        <v>1010</v>
      </c>
      <c r="C319" s="1067">
        <v>0.15</v>
      </c>
      <c r="D319" s="1067">
        <v>0.15</v>
      </c>
      <c r="E319" s="1067">
        <v>0.15</v>
      </c>
      <c r="F319" s="1068">
        <v>0.15</v>
      </c>
    </row>
    <row r="320" spans="1:6" ht="14.25" thickBot="1">
      <c r="A320" s="840" t="s">
        <v>1007</v>
      </c>
      <c r="B320" s="834" t="s">
        <v>222</v>
      </c>
      <c r="C320" s="1067">
        <v>0.15</v>
      </c>
      <c r="D320" s="1067">
        <v>0.15</v>
      </c>
      <c r="E320" s="1067">
        <v>0.15</v>
      </c>
      <c r="F320" s="1079"/>
    </row>
    <row r="321" spans="1:6" ht="14.25" thickBot="1">
      <c r="A321" s="840" t="s">
        <v>1007</v>
      </c>
      <c r="B321" s="834" t="s">
        <v>1011</v>
      </c>
      <c r="C321" s="1067">
        <v>0.15</v>
      </c>
      <c r="D321" s="1067">
        <v>0.15</v>
      </c>
      <c r="E321" s="1067">
        <v>0.15</v>
      </c>
      <c r="F321" s="1079"/>
    </row>
    <row r="322" spans="1:6" ht="14.25" thickBot="1">
      <c r="A322" s="840" t="s">
        <v>1007</v>
      </c>
      <c r="B322" s="834" t="s">
        <v>1012</v>
      </c>
      <c r="C322" s="1067">
        <v>0.15</v>
      </c>
      <c r="D322" s="1067">
        <v>0.15</v>
      </c>
      <c r="E322" s="1067">
        <v>0.15</v>
      </c>
      <c r="F322" s="1068">
        <v>0.15</v>
      </c>
    </row>
    <row r="323" spans="1:6" ht="14.25" thickBot="1">
      <c r="A323" s="840" t="s">
        <v>1007</v>
      </c>
      <c r="B323" s="834" t="s">
        <v>1013</v>
      </c>
      <c r="C323" s="1067">
        <v>0.15</v>
      </c>
      <c r="D323" s="1067">
        <v>0.15</v>
      </c>
      <c r="E323" s="1067">
        <v>0.15</v>
      </c>
      <c r="F323" s="1079"/>
    </row>
    <row r="324" spans="1:6" ht="14.25" thickBot="1">
      <c r="A324" s="840" t="s">
        <v>1007</v>
      </c>
      <c r="B324" s="834" t="s">
        <v>1014</v>
      </c>
      <c r="C324" s="1067">
        <v>0.15</v>
      </c>
      <c r="D324" s="1067">
        <v>0.15</v>
      </c>
      <c r="E324" s="1067">
        <v>0.15</v>
      </c>
      <c r="F324" s="1079"/>
    </row>
    <row r="325" spans="1:6" ht="14.25" thickBot="1">
      <c r="A325" s="840" t="s">
        <v>1007</v>
      </c>
      <c r="B325" s="834" t="s">
        <v>1015</v>
      </c>
      <c r="C325" s="1067">
        <v>0.15</v>
      </c>
      <c r="D325" s="1067">
        <v>0.15</v>
      </c>
      <c r="E325" s="1067">
        <v>0.15</v>
      </c>
      <c r="F325" s="1068">
        <v>0.14699999999999999</v>
      </c>
    </row>
    <row r="326" spans="1:6" ht="14.25" thickBot="1">
      <c r="A326" s="840" t="s">
        <v>1007</v>
      </c>
      <c r="B326" s="834" t="s">
        <v>289</v>
      </c>
      <c r="C326" s="1067">
        <v>0.15</v>
      </c>
      <c r="D326" s="1067">
        <v>0.15</v>
      </c>
      <c r="E326" s="1067">
        <v>0.15</v>
      </c>
      <c r="F326" s="1079"/>
    </row>
    <row r="327" spans="1:6" ht="14.25" thickBot="1">
      <c r="A327" s="840" t="s">
        <v>1007</v>
      </c>
      <c r="B327" s="834" t="s">
        <v>1016</v>
      </c>
      <c r="C327" s="1067">
        <v>0.15</v>
      </c>
      <c r="D327" s="1067">
        <v>0.15</v>
      </c>
      <c r="E327" s="1067">
        <v>0.15</v>
      </c>
      <c r="F327" s="1068">
        <v>0.15</v>
      </c>
    </row>
    <row r="328" spans="1:6" ht="14.25" thickBot="1">
      <c r="A328" s="840" t="s">
        <v>1007</v>
      </c>
      <c r="B328" s="834" t="s">
        <v>309</v>
      </c>
      <c r="C328" s="1067">
        <v>0.15</v>
      </c>
      <c r="D328" s="1067">
        <v>0.15</v>
      </c>
      <c r="E328" s="1067">
        <v>0.15</v>
      </c>
      <c r="F328" s="1068">
        <v>0.14099999999999999</v>
      </c>
    </row>
    <row r="329" spans="1:6" ht="14.25" thickBot="1">
      <c r="A329" s="840" t="s">
        <v>1007</v>
      </c>
      <c r="B329" s="834" t="s">
        <v>319</v>
      </c>
      <c r="C329" s="1067">
        <v>0.15</v>
      </c>
      <c r="D329" s="1067">
        <v>0.15</v>
      </c>
      <c r="E329" s="1067">
        <v>0.15</v>
      </c>
      <c r="F329" s="1068">
        <v>0.15</v>
      </c>
    </row>
    <row r="330" spans="1:6" ht="14.25" thickBot="1">
      <c r="A330" s="840" t="s">
        <v>1007</v>
      </c>
      <c r="B330" s="834" t="s">
        <v>330</v>
      </c>
      <c r="C330" s="1067">
        <v>0.15</v>
      </c>
      <c r="D330" s="1067">
        <v>0.15</v>
      </c>
      <c r="E330" s="1067">
        <v>0.15</v>
      </c>
      <c r="F330" s="1079"/>
    </row>
    <row r="331" spans="1:6" ht="14.25" thickBot="1">
      <c r="A331" s="840" t="s">
        <v>1007</v>
      </c>
      <c r="B331" s="834" t="s">
        <v>1017</v>
      </c>
      <c r="C331" s="1067">
        <v>0.15</v>
      </c>
      <c r="D331" s="1067">
        <v>0.15</v>
      </c>
      <c r="E331" s="1067">
        <v>0.15</v>
      </c>
      <c r="F331" s="1068">
        <v>0.15</v>
      </c>
    </row>
    <row r="332" spans="1:6" ht="14.25" thickBot="1">
      <c r="A332" s="840" t="s">
        <v>1007</v>
      </c>
      <c r="B332" s="834" t="s">
        <v>351</v>
      </c>
      <c r="C332" s="1067">
        <v>0.15</v>
      </c>
      <c r="D332" s="1067">
        <v>0.15</v>
      </c>
      <c r="E332" s="1067">
        <v>0.15</v>
      </c>
      <c r="F332" s="1068">
        <v>0.15</v>
      </c>
    </row>
    <row r="333" spans="1:6" ht="14.25" thickBot="1">
      <c r="A333" s="840" t="s">
        <v>1007</v>
      </c>
      <c r="B333" s="834" t="s">
        <v>1018</v>
      </c>
      <c r="C333" s="1067">
        <v>0.15</v>
      </c>
      <c r="D333" s="1067">
        <v>0.15</v>
      </c>
      <c r="E333" s="1067">
        <v>0.15</v>
      </c>
      <c r="F333" s="1068">
        <v>0.14099999999999999</v>
      </c>
    </row>
    <row r="334" spans="1:6" ht="14.25" thickBot="1">
      <c r="A334" s="840" t="s">
        <v>1007</v>
      </c>
      <c r="B334" s="834" t="s">
        <v>371</v>
      </c>
      <c r="C334" s="1067">
        <v>0.15</v>
      </c>
      <c r="D334" s="1067">
        <v>0.15</v>
      </c>
      <c r="E334" s="1067">
        <v>0.15</v>
      </c>
      <c r="F334" s="1068">
        <v>0.15</v>
      </c>
    </row>
    <row r="335" spans="1:6" ht="14.25" thickBot="1">
      <c r="A335" s="840" t="s">
        <v>1007</v>
      </c>
      <c r="B335" s="834" t="s">
        <v>381</v>
      </c>
      <c r="C335" s="1067">
        <v>0.15</v>
      </c>
      <c r="D335" s="1067">
        <v>0.15</v>
      </c>
      <c r="E335" s="1067">
        <v>0.15</v>
      </c>
      <c r="F335" s="1079"/>
    </row>
    <row r="336" spans="1:6" ht="14.25" thickBot="1">
      <c r="A336" s="840" t="s">
        <v>1007</v>
      </c>
      <c r="B336" s="834" t="s">
        <v>1019</v>
      </c>
      <c r="C336" s="1067">
        <v>0.15</v>
      </c>
      <c r="D336" s="1067">
        <v>0.15</v>
      </c>
      <c r="E336" s="1067">
        <v>0.15</v>
      </c>
      <c r="F336" s="1068">
        <v>0.11799999999999999</v>
      </c>
    </row>
    <row r="337" spans="1:6" ht="14.25" thickBot="1">
      <c r="A337" s="850" t="s">
        <v>1007</v>
      </c>
      <c r="B337" s="846" t="s">
        <v>399</v>
      </c>
      <c r="C337" s="1077"/>
      <c r="D337" s="1077"/>
      <c r="E337" s="1077"/>
      <c r="F337" s="1070">
        <v>0.14299999999999999</v>
      </c>
    </row>
    <row r="338" spans="1:6" ht="14.25" thickBot="1">
      <c r="A338" s="840" t="s">
        <v>1020</v>
      </c>
      <c r="B338" s="841" t="s">
        <v>1021</v>
      </c>
      <c r="C338" s="1065">
        <v>0.15</v>
      </c>
      <c r="D338" s="1065">
        <v>0.15</v>
      </c>
      <c r="E338" s="1065">
        <v>0.15</v>
      </c>
      <c r="F338" s="1082"/>
    </row>
    <row r="339" spans="1:6" ht="14.25" thickBot="1">
      <c r="A339" s="840" t="s">
        <v>1020</v>
      </c>
      <c r="B339" s="834" t="s">
        <v>1022</v>
      </c>
      <c r="C339" s="1067">
        <v>0.15</v>
      </c>
      <c r="D339" s="1067">
        <v>0.15</v>
      </c>
      <c r="E339" s="1067">
        <v>0.15</v>
      </c>
      <c r="F339" s="1079"/>
    </row>
    <row r="340" spans="1:6" ht="14.25" thickBot="1">
      <c r="A340" s="840" t="s">
        <v>1020</v>
      </c>
      <c r="B340" s="834" t="s">
        <v>1023</v>
      </c>
      <c r="C340" s="1067">
        <v>0.15</v>
      </c>
      <c r="D340" s="1067">
        <v>0.15</v>
      </c>
      <c r="E340" s="1067">
        <v>0.15</v>
      </c>
      <c r="F340" s="1079"/>
    </row>
    <row r="341" spans="1:6" ht="14.25" thickBot="1">
      <c r="A341" s="840" t="s">
        <v>1020</v>
      </c>
      <c r="B341" s="834" t="s">
        <v>1024</v>
      </c>
      <c r="C341" s="1067">
        <v>0.15</v>
      </c>
      <c r="D341" s="1067">
        <v>0.15</v>
      </c>
      <c r="E341" s="1067">
        <v>0.15</v>
      </c>
      <c r="F341" s="1068">
        <v>0.15</v>
      </c>
    </row>
    <row r="342" spans="1:6" ht="14.25" thickBot="1">
      <c r="A342" s="840" t="s">
        <v>1020</v>
      </c>
      <c r="B342" s="834" t="s">
        <v>1025</v>
      </c>
      <c r="C342" s="1067">
        <v>0.15</v>
      </c>
      <c r="D342" s="1067">
        <v>0.15</v>
      </c>
      <c r="E342" s="1067">
        <v>0.15</v>
      </c>
      <c r="F342" s="1068">
        <v>0.15</v>
      </c>
    </row>
    <row r="343" spans="1:6" ht="14.25" thickBot="1">
      <c r="A343" s="840" t="s">
        <v>1020</v>
      </c>
      <c r="B343" s="834" t="s">
        <v>1026</v>
      </c>
      <c r="C343" s="1067">
        <v>0.15</v>
      </c>
      <c r="D343" s="1067">
        <v>0.15</v>
      </c>
      <c r="E343" s="1067">
        <v>0.15</v>
      </c>
      <c r="F343" s="1068">
        <v>0.15</v>
      </c>
    </row>
    <row r="344" spans="1:6" ht="14.25" thickBot="1">
      <c r="A344" s="850" t="s">
        <v>1020</v>
      </c>
      <c r="B344" s="846" t="s">
        <v>1027</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1299</v>
      </c>
      <c r="C1" s="1697">
        <f>项目基本情况!D3</f>
        <v>43200</v>
      </c>
      <c r="D1" s="1703" t="s">
        <v>1300</v>
      </c>
      <c r="E1" s="1698">
        <f>'数据-取费表'!B22</f>
        <v>1</v>
      </c>
      <c r="F1" s="1703" t="s">
        <v>1301</v>
      </c>
      <c r="G1" s="1699">
        <f ca="1">INDIRECT("d"&amp;$K$1)/100</f>
        <v>4.3499999999999997E-2</v>
      </c>
      <c r="H1" s="1703" t="s">
        <v>1331</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1302</v>
      </c>
      <c r="E2" s="1639"/>
      <c r="F2" s="1639" t="s">
        <v>1303</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1304</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1305</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1306</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1307</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1308</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1309</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1310</v>
      </c>
      <c r="C10" s="1667"/>
      <c r="D10" s="1667"/>
      <c r="E10" s="1667"/>
      <c r="F10" s="1667"/>
      <c r="G10" s="1667"/>
      <c r="H10" s="1667"/>
      <c r="I10" s="1641"/>
      <c r="J10" s="1641"/>
      <c r="K10" s="1667"/>
      <c r="L10" s="1668" t="s">
        <v>1311</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1312</v>
      </c>
      <c r="C11" s="1672" t="s">
        <v>1313</v>
      </c>
      <c r="D11" s="1673" t="s">
        <v>1314</v>
      </c>
      <c r="E11" s="1674"/>
      <c r="F11" s="1673" t="s">
        <v>1315</v>
      </c>
      <c r="G11" s="1675"/>
      <c r="H11" s="1674"/>
      <c r="I11" s="1673" t="s">
        <v>1316</v>
      </c>
      <c r="J11" s="1674"/>
      <c r="K11" s="1670"/>
      <c r="L11" s="1671" t="s">
        <v>1312</v>
      </c>
      <c r="M11" s="1672" t="s">
        <v>1313</v>
      </c>
      <c r="N11" s="1671" t="s">
        <v>1317</v>
      </c>
      <c r="O11" s="1673" t="s">
        <v>1318</v>
      </c>
      <c r="P11" s="1675"/>
      <c r="Q11" s="1675"/>
      <c r="R11" s="1675"/>
      <c r="S11" s="1675"/>
      <c r="T11" s="1674"/>
      <c r="U11" s="1673" t="s">
        <v>1319</v>
      </c>
      <c r="V11" s="1675"/>
      <c r="W11" s="1674"/>
      <c r="X11" s="1671" t="s">
        <v>1320</v>
      </c>
      <c r="Y11" s="1671" t="s">
        <v>1321</v>
      </c>
      <c r="Z11" s="1671" t="s">
        <v>1322</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1323</v>
      </c>
      <c r="E12" s="1680" t="s">
        <v>1324</v>
      </c>
      <c r="F12" s="1680" t="s">
        <v>1325</v>
      </c>
      <c r="G12" s="1680" t="s">
        <v>1326</v>
      </c>
      <c r="H12" s="1680" t="s">
        <v>1308</v>
      </c>
      <c r="I12" s="1681" t="s">
        <v>1327</v>
      </c>
      <c r="J12" s="1681" t="s">
        <v>1327</v>
      </c>
      <c r="K12" s="1677"/>
      <c r="L12" s="1678"/>
      <c r="M12" s="1679"/>
      <c r="N12" s="1678"/>
      <c r="O12" s="1681" t="s">
        <v>1328</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1329</v>
      </c>
      <c r="C13" s="1685">
        <v>42301</v>
      </c>
      <c r="D13" s="1686">
        <v>4.3499999999999996</v>
      </c>
      <c r="E13" s="1686">
        <v>4.3499999999999996</v>
      </c>
      <c r="F13" s="1686">
        <v>4.75</v>
      </c>
      <c r="G13" s="1686">
        <v>4.75</v>
      </c>
      <c r="H13" s="1686">
        <v>4.9000000000000004</v>
      </c>
      <c r="I13" s="1686">
        <v>2.75</v>
      </c>
      <c r="J13" s="1686">
        <v>3.25</v>
      </c>
      <c r="K13" s="1683"/>
      <c r="L13" s="1684" t="s">
        <v>1329</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1330</v>
      </c>
      <c r="Y42" s="1690" t="s">
        <v>1330</v>
      </c>
      <c r="Z42" s="1690" t="s">
        <v>1330</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1330</v>
      </c>
      <c r="Y43" s="1690" t="s">
        <v>1330</v>
      </c>
      <c r="Z43" s="1690" t="s">
        <v>1330</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1330</v>
      </c>
      <c r="Y44" s="1690" t="s">
        <v>1330</v>
      </c>
      <c r="Z44" s="1690" t="s">
        <v>1330</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1330</v>
      </c>
      <c r="Y45" s="1690" t="s">
        <v>1330</v>
      </c>
      <c r="Z45" s="1690" t="s">
        <v>1330</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1330</v>
      </c>
      <c r="Y46" s="1690" t="s">
        <v>1330</v>
      </c>
      <c r="Z46" s="1690" t="s">
        <v>1330</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1330</v>
      </c>
      <c r="Y47" s="1690" t="s">
        <v>1330</v>
      </c>
      <c r="Z47" s="1690" t="s">
        <v>1330</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1330</v>
      </c>
      <c r="Y48" s="1690" t="s">
        <v>1330</v>
      </c>
      <c r="Z48" s="1690" t="s">
        <v>1330</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1330</v>
      </c>
      <c r="Y49" s="1690" t="s">
        <v>1330</v>
      </c>
      <c r="Z49" s="1690" t="s">
        <v>1330</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1330</v>
      </c>
      <c r="Y50" s="1690" t="s">
        <v>1330</v>
      </c>
      <c r="Z50" s="1690" t="s">
        <v>1330</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1330</v>
      </c>
      <c r="V51" s="1690" t="s">
        <v>1330</v>
      </c>
      <c r="W51" s="1690" t="s">
        <v>1330</v>
      </c>
      <c r="X51" s="1690" t="s">
        <v>1330</v>
      </c>
      <c r="Y51" s="1690" t="s">
        <v>1330</v>
      </c>
      <c r="Z51" s="1690" t="s">
        <v>1330</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1330</v>
      </c>
      <c r="J55" s="1690" t="s">
        <v>1330</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1371</v>
      </c>
      <c r="E1" s="1779" t="s">
        <v>1375</v>
      </c>
      <c r="F1" s="1780" t="s">
        <v>1379</v>
      </c>
    </row>
    <row r="2" spans="1:13" ht="20.25">
      <c r="A2" s="1786" t="s">
        <v>1372</v>
      </c>
    </row>
    <row r="3" spans="1:13" ht="16.5">
      <c r="A3" s="1787" t="s">
        <v>1373</v>
      </c>
    </row>
    <row r="4" spans="1:13" ht="14.25">
      <c r="A4" s="1777" t="s">
        <v>1374</v>
      </c>
      <c r="B4" s="1782" t="s">
        <v>1376</v>
      </c>
      <c r="C4" s="1783"/>
      <c r="D4" s="1784"/>
      <c r="E4" s="1782" t="s">
        <v>26</v>
      </c>
      <c r="F4" s="1783"/>
      <c r="G4" s="1784"/>
      <c r="H4" s="1782" t="s">
        <v>1377</v>
      </c>
      <c r="I4" s="1783"/>
      <c r="J4" s="1784"/>
      <c r="K4" s="1782" t="s">
        <v>6</v>
      </c>
      <c r="L4" s="1783"/>
      <c r="M4" s="1784"/>
    </row>
    <row r="5" spans="1:13" ht="14.25">
      <c r="A5" s="1778" t="s">
        <v>1378</v>
      </c>
      <c r="B5" s="1777" t="s">
        <v>1380</v>
      </c>
      <c r="C5" s="1777" t="s">
        <v>1381</v>
      </c>
      <c r="D5" s="1777" t="s">
        <v>1382</v>
      </c>
      <c r="E5" s="1777" t="s">
        <v>1380</v>
      </c>
      <c r="F5" s="1777" t="s">
        <v>1381</v>
      </c>
      <c r="G5" s="1777" t="s">
        <v>1382</v>
      </c>
      <c r="H5" s="1777" t="s">
        <v>1380</v>
      </c>
      <c r="I5" s="1777" t="s">
        <v>1381</v>
      </c>
      <c r="J5" s="1777" t="s">
        <v>1382</v>
      </c>
      <c r="K5" s="1777" t="s">
        <v>1380</v>
      </c>
      <c r="L5" s="1777" t="s">
        <v>1381</v>
      </c>
      <c r="M5" s="1777" t="s">
        <v>1382</v>
      </c>
    </row>
    <row r="6" spans="1:13" ht="14.25">
      <c r="A6" s="1781" t="s">
        <v>211</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268</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441</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136</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522</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55</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525</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527</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529</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533</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813</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814</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1640</v>
      </c>
      <c r="B2" s="2973" t="s">
        <v>1641</v>
      </c>
      <c r="C2" s="2973" t="s">
        <v>1642</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67"/>
      <c r="B3" s="2967"/>
      <c r="C3" s="2967"/>
      <c r="D3" s="1047" t="s">
        <v>1637</v>
      </c>
      <c r="E3" s="1047" t="s">
        <v>1643</v>
      </c>
      <c r="F3" s="1047" t="s">
        <v>1637</v>
      </c>
      <c r="G3" s="1047" t="s">
        <v>1638</v>
      </c>
      <c r="H3" s="1047" t="s">
        <v>1637</v>
      </c>
      <c r="I3" s="1047" t="s">
        <v>1638</v>
      </c>
    </row>
    <row r="4" spans="1:9" ht="30">
      <c r="A4" s="1976" t="str">
        <f>项目基本情况!S2</f>
        <v>北京市顺义区白马路马坡段60号院1-6幢工业用房房地产</v>
      </c>
      <c r="B4" s="1047">
        <f>项目基本情况!C17</f>
        <v>16346.349999999999</v>
      </c>
      <c r="C4" s="1047">
        <f>项目基本情况!C18</f>
        <v>13177.7</v>
      </c>
      <c r="D4" s="1047">
        <f ca="1">结果表!D118</f>
        <v>2910</v>
      </c>
      <c r="E4" s="1047">
        <f ca="1">结果表!E118</f>
        <v>1781</v>
      </c>
      <c r="F4" s="1047">
        <f ca="1">结果表!F118</f>
        <v>7126</v>
      </c>
      <c r="G4" s="1047">
        <f ca="1">结果表!G118</f>
        <v>4359</v>
      </c>
      <c r="H4" s="1047">
        <f ca="1">结果表!H118</f>
        <v>10036</v>
      </c>
      <c r="I4" s="1047">
        <f ca="1">结果表!I118</f>
        <v>6140</v>
      </c>
    </row>
    <row r="5" spans="1:9" ht="30" customHeight="1">
      <c r="A5" s="2967" t="s">
        <v>1639</v>
      </c>
      <c r="B5" s="2967"/>
      <c r="C5" s="2967"/>
      <c r="D5" s="2968" t="str">
        <f ca="1">结果表!D119</f>
        <v>贰仟玖佰壹拾万元整</v>
      </c>
      <c r="E5" s="2968"/>
      <c r="F5" s="2968" t="str">
        <f ca="1">结果表!F119</f>
        <v>柒仟壹佰贰拾陆万元整</v>
      </c>
      <c r="G5" s="2968"/>
      <c r="H5" s="2968" t="str">
        <f ca="1">结果表!H119</f>
        <v>壹亿零叁拾陆万元整</v>
      </c>
      <c r="I5" s="2968"/>
    </row>
    <row r="6" spans="1:9" ht="15.75">
      <c r="A6" s="2966" t="str">
        <f>结果表!A120</f>
        <v>估价师知悉的法定优先受偿款</v>
      </c>
      <c r="B6" s="2966"/>
      <c r="C6" s="2966"/>
      <c r="D6" s="2966">
        <f>结果表!D120</f>
        <v>0</v>
      </c>
      <c r="E6" s="2966"/>
      <c r="F6" s="2966"/>
      <c r="G6" s="2966"/>
      <c r="H6" s="2966"/>
      <c r="I6" s="2966"/>
    </row>
    <row r="7" spans="1:9" ht="15">
      <c r="A7" s="2967" t="s">
        <v>1639</v>
      </c>
      <c r="B7" s="2967"/>
      <c r="C7" s="2967"/>
      <c r="D7" s="2969" t="str">
        <f>结果表!D121</f>
        <v>零元整</v>
      </c>
      <c r="E7" s="2970"/>
      <c r="F7" s="2970"/>
      <c r="G7" s="2970"/>
      <c r="H7" s="2970"/>
      <c r="I7" s="2971"/>
    </row>
    <row r="8" spans="1:9" ht="15.75">
      <c r="A8" s="2966" t="str">
        <f>结果表!A122</f>
        <v>房地产抵押价值</v>
      </c>
      <c r="B8" s="2966"/>
      <c r="C8" s="2966"/>
      <c r="D8" s="2966">
        <f ca="1">结果表!D122</f>
        <v>10036</v>
      </c>
      <c r="E8" s="2966"/>
      <c r="F8" s="2966"/>
      <c r="G8" s="2966"/>
      <c r="H8" s="2966"/>
      <c r="I8" s="2966"/>
    </row>
    <row r="9" spans="1:9" ht="15">
      <c r="A9" s="2967" t="s">
        <v>1639</v>
      </c>
      <c r="B9" s="2967"/>
      <c r="C9" s="2967"/>
      <c r="D9" s="2968" t="str">
        <f ca="1">结果表!D123</f>
        <v>壹亿零叁拾陆万元整</v>
      </c>
      <c r="E9" s="2968"/>
      <c r="F9" s="2968"/>
      <c r="G9" s="2968"/>
      <c r="H9" s="2968"/>
      <c r="I9" s="2968"/>
    </row>
    <row r="10" spans="1:9" ht="15.75">
      <c r="A10" s="2966" t="str">
        <f>结果表!A124</f>
        <v/>
      </c>
      <c r="B10" s="2966"/>
      <c r="C10" s="2966"/>
      <c r="D10" s="2966" t="str">
        <f>结果表!D124</f>
        <v>——</v>
      </c>
      <c r="E10" s="2966"/>
      <c r="F10" s="2966"/>
      <c r="G10" s="2966"/>
      <c r="H10" s="2966"/>
      <c r="I10" s="2966"/>
    </row>
    <row r="11" spans="1:9" ht="15">
      <c r="A11" s="2967" t="s">
        <v>1639</v>
      </c>
      <c r="B11" s="2967"/>
      <c r="C11" s="2967"/>
      <c r="D11" s="2968" t="e">
        <f>结果表!D125</f>
        <v>#VALUE!</v>
      </c>
      <c r="E11" s="2968"/>
      <c r="F11" s="2968"/>
      <c r="G11" s="2968"/>
      <c r="H11" s="2968"/>
      <c r="I11" s="2968"/>
    </row>
    <row r="12" spans="1:9" ht="15.75">
      <c r="A12" s="2966" t="str">
        <f>结果表!A126</f>
        <v/>
      </c>
      <c r="B12" s="2966"/>
      <c r="C12" s="2966"/>
      <c r="D12" s="2966" t="str">
        <f>结果表!D126</f>
        <v>——</v>
      </c>
      <c r="E12" s="2966"/>
      <c r="F12" s="2966"/>
      <c r="G12" s="2966"/>
      <c r="H12" s="2966"/>
      <c r="I12" s="2966"/>
    </row>
    <row r="13" spans="1:9" ht="15.75" thickBot="1">
      <c r="A13" s="2963" t="s">
        <v>1639</v>
      </c>
      <c r="B13" s="2963"/>
      <c r="C13" s="2963"/>
      <c r="D13" s="2964" t="e">
        <f>结果表!D127</f>
        <v>#VALUE!</v>
      </c>
      <c r="E13" s="2964"/>
      <c r="F13" s="2964"/>
      <c r="G13" s="2964"/>
      <c r="H13" s="2964"/>
      <c r="I13" s="2964"/>
    </row>
    <row r="14" spans="1:9" ht="15" thickTop="1">
      <c r="A14" s="2965" t="s">
        <v>1644</v>
      </c>
      <c r="B14" s="2965"/>
      <c r="C14" s="2965"/>
      <c r="D14" s="2965"/>
      <c r="E14" s="2965"/>
      <c r="F14" s="2965"/>
      <c r="G14" s="2965"/>
      <c r="H14" s="2965"/>
      <c r="I14" s="2965"/>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0" t="s">
        <v>1661</v>
      </c>
      <c r="B1" s="2980"/>
      <c r="C1" s="2980"/>
      <c r="D1" s="2980"/>
    </row>
    <row r="2" spans="1:4" ht="18">
      <c r="A2" s="2981" t="s">
        <v>1645</v>
      </c>
      <c r="B2" s="2981"/>
      <c r="C2" s="2981"/>
      <c r="D2" s="2981"/>
    </row>
    <row r="3" spans="1:4" ht="18.75">
      <c r="A3" s="1980" t="s">
        <v>1646</v>
      </c>
      <c r="B3" s="1980" t="s">
        <v>1647</v>
      </c>
      <c r="C3" s="1980" t="s">
        <v>1648</v>
      </c>
      <c r="D3" s="1980" t="s">
        <v>1649</v>
      </c>
    </row>
    <row r="4" spans="1:4" ht="56.25" customHeight="1">
      <c r="A4" s="1981" t="str">
        <f>项目基本情况!B4</f>
        <v>梁津</v>
      </c>
      <c r="B4" s="1982">
        <f ca="1">项目基本情况!C4</f>
        <v>1119970066</v>
      </c>
      <c r="C4" s="1983"/>
      <c r="D4" s="1984" t="s">
        <v>1650</v>
      </c>
    </row>
    <row r="5" spans="1:4" ht="56.25" customHeight="1">
      <c r="A5" s="1981" t="str">
        <f>项目基本情况!D4</f>
        <v>欧红伟</v>
      </c>
      <c r="B5" s="1982">
        <f ca="1">项目基本情况!E4</f>
        <v>1120000080</v>
      </c>
      <c r="C5" s="1985"/>
      <c r="D5" s="1984" t="s">
        <v>1650</v>
      </c>
    </row>
    <row r="6" spans="1:4" ht="18">
      <c r="A6" s="2981" t="s">
        <v>1651</v>
      </c>
      <c r="B6" s="2981"/>
      <c r="C6" s="2981"/>
      <c r="D6" s="2981"/>
    </row>
    <row r="7" spans="1:4" ht="18.75">
      <c r="A7" s="1980" t="s">
        <v>1646</v>
      </c>
      <c r="B7" s="1982" t="s">
        <v>1652</v>
      </c>
      <c r="C7" s="1980" t="s">
        <v>1648</v>
      </c>
      <c r="D7" s="1980" t="s">
        <v>1649</v>
      </c>
    </row>
    <row r="8" spans="1:4" ht="56.25" customHeight="1">
      <c r="A8" s="1986" t="s">
        <v>868</v>
      </c>
      <c r="B8" s="1986" t="s">
        <v>1</v>
      </c>
      <c r="C8" s="1983"/>
      <c r="D8" s="1984" t="s">
        <v>1650</v>
      </c>
    </row>
    <row r="9" spans="1:4">
      <c r="A9" s="728"/>
      <c r="B9" s="728"/>
      <c r="C9" s="728"/>
      <c r="D9" s="728"/>
    </row>
    <row r="10" spans="1:4" ht="18.75">
      <c r="A10" s="1987" t="s">
        <v>1653</v>
      </c>
      <c r="B10" s="728"/>
      <c r="C10" s="728"/>
      <c r="D10" s="728"/>
    </row>
    <row r="11" spans="1:4" ht="30" customHeight="1">
      <c r="A11" s="2982" t="s">
        <v>1654</v>
      </c>
      <c r="B11" s="2974"/>
      <c r="C11" s="2974"/>
      <c r="D11" s="2974"/>
    </row>
    <row r="12" spans="1:4" ht="15.75">
      <c r="A12" s="29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9"/>
      <c r="C12" s="2979"/>
      <c r="D12" s="2979"/>
    </row>
    <row r="13" spans="1:4" ht="30" customHeight="1">
      <c r="A13" s="29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9"/>
      <c r="C13" s="2979"/>
      <c r="D13" s="2979"/>
    </row>
    <row r="14" spans="1:4" ht="15.75" customHeight="1">
      <c r="A14" s="2974" t="str">
        <f>IF(项目基本情况!B8="抵押","4.本次评估估价师所知悉的法定优先受偿款情况说明如下：","——")</f>
        <v>4.本次评估估价师所知悉的法定优先受偿款情况说明如下：</v>
      </c>
      <c r="B14" s="2979"/>
      <c r="C14" s="2979"/>
      <c r="D14" s="2979"/>
    </row>
    <row r="15" spans="1:4" ht="42" customHeight="1">
      <c r="A15" s="2974" t="str">
        <f>IF(项目基本情况!B8="抵押","（1）"&amp;CONCATENATE(项目基本情况!L20,项目基本情况!L21,项目基本情况!L22),"——")</f>
        <v>（1）根据估价对象《房屋所有权证》复印件、《国有土地使用权》复印件，截至价值时点，估价对象抵押权未见登记。</v>
      </c>
      <c r="B15" s="2974"/>
      <c r="C15" s="2974"/>
      <c r="D15" s="2974"/>
    </row>
    <row r="16" spans="1:4" ht="30" customHeight="1">
      <c r="A16" s="2976" t="s">
        <v>1655</v>
      </c>
      <c r="B16" s="2976"/>
      <c r="C16" s="2976"/>
      <c r="D16" s="2976"/>
    </row>
    <row r="17" spans="1:4" ht="144" customHeight="1">
      <c r="A17" s="2976" t="s">
        <v>1656</v>
      </c>
      <c r="B17" s="2976"/>
      <c r="C17" s="2976"/>
      <c r="D17" s="2976"/>
    </row>
    <row r="18" spans="1:4" ht="15.75" customHeight="1">
      <c r="A18" s="2974" t="str">
        <f>IF(项目基本情况!B8="抵押",结果表!K120,"——")</f>
        <v>故，本次评估不存在估价师知悉的法定优先受偿款</v>
      </c>
      <c r="B18" s="2974"/>
      <c r="C18" s="2974"/>
      <c r="D18" s="2974"/>
    </row>
    <row r="19" spans="1:4" ht="46.5" customHeight="1">
      <c r="A19" s="29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4"/>
      <c r="C19" s="2974"/>
      <c r="D19" s="2974"/>
    </row>
    <row r="20" spans="1:4" ht="57.75" customHeight="1">
      <c r="A20" s="29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4"/>
      <c r="C20" s="2974"/>
      <c r="D20" s="2974"/>
    </row>
    <row r="21" spans="1:4" ht="57.75" customHeight="1">
      <c r="A21" s="29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7"/>
      <c r="C21" s="2977"/>
      <c r="D21" s="2977"/>
    </row>
    <row r="22" spans="1:4" ht="18.75" customHeight="1">
      <c r="A22" s="2978" t="s">
        <v>1657</v>
      </c>
      <c r="B22" s="2978"/>
      <c r="C22" s="2978"/>
      <c r="D22" s="2978"/>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2975">
        <v>42551</v>
      </c>
      <c r="D31" s="29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869</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81</v>
      </c>
      <c r="B3" s="1978" t="s">
        <v>1663</v>
      </c>
      <c r="G3" s="1995"/>
    </row>
    <row r="4" spans="1:7">
      <c r="G4" s="1995"/>
    </row>
    <row r="5" spans="1:7">
      <c r="A5" s="1997" t="s">
        <v>72</v>
      </c>
      <c r="B5" s="1978" t="s">
        <v>1664</v>
      </c>
      <c r="G5" s="1995"/>
    </row>
    <row r="6" spans="1:7">
      <c r="G6" s="1995"/>
    </row>
    <row r="7" spans="1:7">
      <c r="A7" s="1998" t="s">
        <v>134</v>
      </c>
      <c r="B7" s="1978" t="s">
        <v>1665</v>
      </c>
      <c r="G7" s="1995"/>
    </row>
    <row r="8" spans="1:7">
      <c r="G8" s="1995"/>
    </row>
    <row r="9" spans="1:7">
      <c r="A9" s="1999" t="s">
        <v>73</v>
      </c>
      <c r="B9" s="1978" t="s">
        <v>1666</v>
      </c>
    </row>
    <row r="11" spans="1:7">
      <c r="A11" s="2000" t="s">
        <v>74</v>
      </c>
      <c r="B11" s="2001" t="s">
        <v>71</v>
      </c>
    </row>
    <row r="13" spans="1:7">
      <c r="A13" s="2002" t="s">
        <v>1667</v>
      </c>
    </row>
    <row r="15" spans="1:7" ht="13.5">
      <c r="A15" s="2988" t="s">
        <v>1668</v>
      </c>
      <c r="B15" s="2983" t="s">
        <v>135</v>
      </c>
      <c r="C15" s="2984"/>
    </row>
    <row r="16" spans="1:7" ht="13.5">
      <c r="A16" s="2989"/>
      <c r="B16" s="2983" t="s">
        <v>68</v>
      </c>
      <c r="C16" s="2984"/>
    </row>
    <row r="17" spans="1:3" ht="13.5">
      <c r="A17" s="2989"/>
      <c r="B17" s="2986" t="s">
        <v>1669</v>
      </c>
      <c r="C17" s="2003" t="s">
        <v>1668</v>
      </c>
    </row>
    <row r="18" spans="1:3" ht="13.5">
      <c r="A18" s="2989"/>
      <c r="B18" s="2986"/>
      <c r="C18" s="2003" t="s">
        <v>1670</v>
      </c>
    </row>
    <row r="19" spans="1:3" ht="13.5">
      <c r="A19" s="2989"/>
      <c r="B19" s="2986"/>
      <c r="C19" s="2003" t="s">
        <v>1671</v>
      </c>
    </row>
    <row r="20" spans="1:3" ht="13.5">
      <c r="A20" s="2990"/>
      <c r="B20" s="2985" t="s">
        <v>1672</v>
      </c>
      <c r="C20" s="2984"/>
    </row>
    <row r="21" spans="1:3" ht="13.5">
      <c r="A21" s="2004" t="s">
        <v>1673</v>
      </c>
      <c r="B21" s="2005"/>
      <c r="C21" s="2006"/>
    </row>
    <row r="22" spans="1:3" ht="13.5">
      <c r="A22" s="2987" t="s">
        <v>1674</v>
      </c>
      <c r="B22" s="2985" t="s">
        <v>1675</v>
      </c>
      <c r="C22" s="2984"/>
    </row>
    <row r="23" spans="1:3" ht="13.5">
      <c r="A23" s="2987"/>
      <c r="B23" s="2985" t="s">
        <v>1676</v>
      </c>
      <c r="C23" s="2984"/>
    </row>
    <row r="24" spans="1:3" ht="13.5">
      <c r="A24" s="2987"/>
      <c r="B24" s="2985" t="s">
        <v>1677</v>
      </c>
      <c r="C24" s="2984"/>
    </row>
    <row r="25" spans="1:3" ht="13.5">
      <c r="A25" s="2987"/>
      <c r="B25" s="2986" t="s">
        <v>1678</v>
      </c>
      <c r="C25" s="2003" t="s">
        <v>1679</v>
      </c>
    </row>
    <row r="26" spans="1:3" ht="13.5">
      <c r="A26" s="2987"/>
      <c r="B26" s="2986"/>
      <c r="C26" s="2003" t="s">
        <v>1680</v>
      </c>
    </row>
    <row r="27" spans="1:3" ht="13.5">
      <c r="A27" s="2987"/>
      <c r="B27" s="2986"/>
      <c r="C27" s="2003" t="s">
        <v>1681</v>
      </c>
    </row>
    <row r="28" spans="1:3" ht="13.5">
      <c r="A28" s="2987"/>
      <c r="B28" s="2986"/>
      <c r="C28" s="2003" t="s">
        <v>1682</v>
      </c>
    </row>
    <row r="29" spans="1:3" ht="13.5">
      <c r="A29" s="2987"/>
      <c r="B29" s="2986"/>
      <c r="C29" s="2003" t="s">
        <v>1683</v>
      </c>
    </row>
    <row r="30" spans="1:3" ht="13.5">
      <c r="A30" s="2987"/>
      <c r="B30" s="2986"/>
      <c r="C30" s="2003" t="s">
        <v>1684</v>
      </c>
    </row>
    <row r="31" spans="1:3" ht="13.5">
      <c r="A31" s="2987"/>
      <c r="B31" s="2986"/>
      <c r="C31" s="2003" t="s">
        <v>1685</v>
      </c>
    </row>
    <row r="32" spans="1:3" ht="13.5">
      <c r="A32" s="2987"/>
      <c r="B32" s="2986"/>
      <c r="C32" s="2003" t="s">
        <v>1686</v>
      </c>
    </row>
    <row r="33" spans="1:3" ht="13.5">
      <c r="A33" s="2987"/>
      <c r="B33" s="2986"/>
      <c r="C33" s="2003" t="s">
        <v>1687</v>
      </c>
    </row>
    <row r="34" spans="1:3">
      <c r="A34" s="2007" t="s">
        <v>75</v>
      </c>
    </row>
    <row r="37" spans="1:3">
      <c r="A37" s="2007" t="s">
        <v>1688</v>
      </c>
    </row>
    <row r="38" spans="1:3" ht="13.5">
      <c r="A38" s="2008" t="s">
        <v>76</v>
      </c>
    </row>
    <row r="39" spans="1:3" ht="13.5">
      <c r="A39" s="2008" t="s">
        <v>77</v>
      </c>
    </row>
    <row r="40" spans="1:3" ht="13.5">
      <c r="A40" s="2008" t="s">
        <v>78</v>
      </c>
    </row>
    <row r="41" spans="1:3" ht="13.5">
      <c r="A41" s="2009" t="s">
        <v>79</v>
      </c>
    </row>
    <row r="42" spans="1:3" ht="13.5">
      <c r="A42" s="2008"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43217</v>
      </c>
      <c r="C2" s="1022" t="s">
        <v>825</v>
      </c>
      <c r="D2" s="1022"/>
    </row>
    <row r="3" spans="1:6" ht="24" customHeight="1">
      <c r="A3" s="1023" t="s">
        <v>826</v>
      </c>
      <c r="B3" s="1024" t="s">
        <v>827</v>
      </c>
      <c r="C3" s="2350" t="s">
        <v>828</v>
      </c>
      <c r="D3" s="2353" t="s">
        <v>829</v>
      </c>
      <c r="E3" s="1025" t="s">
        <v>830</v>
      </c>
      <c r="F3" s="1024" t="s">
        <v>828</v>
      </c>
    </row>
    <row r="4" spans="1:6" ht="24" customHeight="1">
      <c r="A4" s="1705" t="s">
        <v>831</v>
      </c>
      <c r="B4" s="1025">
        <f ca="1">IF(C4&lt;B2,"已过期",1119970066)</f>
        <v>1119970066</v>
      </c>
      <c r="C4" s="2351">
        <v>43849</v>
      </c>
      <c r="D4" s="2354" t="s">
        <v>831</v>
      </c>
      <c r="E4" s="1025">
        <f ca="1">IF(F4&lt;B2,"已过期",96010014)</f>
        <v>96010014</v>
      </c>
      <c r="F4" s="1033">
        <v>47118</v>
      </c>
    </row>
    <row r="5" spans="1:6" ht="24" customHeight="1">
      <c r="A5" s="1705" t="s">
        <v>832</v>
      </c>
      <c r="B5" s="1025">
        <f ca="1">IF(C5&lt;B2,"已过期",1119970074)</f>
        <v>1119970074</v>
      </c>
      <c r="C5" s="2351">
        <v>43849</v>
      </c>
      <c r="D5" s="2354" t="s">
        <v>832</v>
      </c>
      <c r="E5" s="1025">
        <f ca="1">IF(F5&lt;B2,"已过期",2002110027)</f>
        <v>2002110027</v>
      </c>
      <c r="F5" s="1033">
        <v>46752</v>
      </c>
    </row>
    <row r="6" spans="1:6" ht="24" customHeight="1">
      <c r="A6" s="1705" t="s">
        <v>833</v>
      </c>
      <c r="B6" s="1025">
        <f ca="1">IF(C6&lt;B2,"已过期",1119970111)</f>
        <v>1119970111</v>
      </c>
      <c r="C6" s="2351">
        <v>43849</v>
      </c>
      <c r="D6" s="2354" t="s">
        <v>833</v>
      </c>
      <c r="E6" s="1025">
        <f ca="1">IF(F6&lt;B2,"已过期",94010078)</f>
        <v>94010078</v>
      </c>
      <c r="F6" s="1033">
        <v>46387</v>
      </c>
    </row>
    <row r="7" spans="1:6" ht="24" customHeight="1">
      <c r="A7" s="1705" t="s">
        <v>834</v>
      </c>
      <c r="B7" s="1025">
        <f ca="1">IF(C7&lt;B2,"已过期",1120050019)</f>
        <v>1120050019</v>
      </c>
      <c r="C7" s="2351">
        <v>43359</v>
      </c>
      <c r="D7" s="2354" t="s">
        <v>834</v>
      </c>
      <c r="E7" s="1025">
        <f ca="1">IF(F7&lt;B2,"已过期",2002110030)</f>
        <v>2002110030</v>
      </c>
      <c r="F7" s="1033">
        <v>46387</v>
      </c>
    </row>
    <row r="8" spans="1:6" ht="24" customHeight="1">
      <c r="A8" s="1705" t="s">
        <v>835</v>
      </c>
      <c r="B8" s="1025">
        <f ca="1">IF(C8&lt;B2,"已过期",1120000080)</f>
        <v>1120000080</v>
      </c>
      <c r="C8" s="2351">
        <v>43849</v>
      </c>
      <c r="D8" s="2354" t="s">
        <v>835</v>
      </c>
      <c r="E8" s="1025">
        <f ca="1">IF(F8&lt;B2,"已过期",2000110082)</f>
        <v>2000110082</v>
      </c>
      <c r="F8" s="1033">
        <v>46387</v>
      </c>
    </row>
    <row r="9" spans="1:6" ht="24" customHeight="1">
      <c r="A9" s="1705" t="s">
        <v>836</v>
      </c>
      <c r="B9" s="1025">
        <f ca="1">IF(C9&lt;B2,"已过期",1419970001)</f>
        <v>1419970001</v>
      </c>
      <c r="C9" s="2351">
        <v>43867</v>
      </c>
      <c r="D9" s="2354" t="s">
        <v>836</v>
      </c>
      <c r="E9" s="1025">
        <f ca="1">IF(F9&lt;B2,"已过期",2002110125)</f>
        <v>2002110125</v>
      </c>
      <c r="F9" s="1033">
        <v>47118</v>
      </c>
    </row>
    <row r="10" spans="1:6" ht="24" customHeight="1">
      <c r="A10" s="1705" t="s">
        <v>837</v>
      </c>
      <c r="B10" s="1025">
        <f ca="1">IF(C10&lt;B2,"已过期",1120060040)</f>
        <v>1120060040</v>
      </c>
      <c r="C10" s="2351">
        <v>43483</v>
      </c>
      <c r="D10" s="2354" t="s">
        <v>837</v>
      </c>
      <c r="E10" s="1025">
        <f ca="1">IF(F10&lt;B2,"已过期",2004110096)</f>
        <v>2004110096</v>
      </c>
      <c r="F10" s="1033">
        <v>47118</v>
      </c>
    </row>
    <row r="11" spans="1:6" ht="24" customHeight="1">
      <c r="A11" s="1705" t="s">
        <v>838</v>
      </c>
      <c r="B11" s="1025">
        <f ca="1">IF(C11&lt;B2,"已过期",1120100036)</f>
        <v>1120100036</v>
      </c>
      <c r="C11" s="2351">
        <v>43622</v>
      </c>
      <c r="D11" s="2354" t="s">
        <v>838</v>
      </c>
      <c r="E11" s="1025">
        <f ca="1">IF(F11&lt;B2,"已过期",2010110070)</f>
        <v>2010110070</v>
      </c>
      <c r="F11" s="1033">
        <v>47907</v>
      </c>
    </row>
    <row r="12" spans="1:6" ht="24" customHeight="1">
      <c r="A12" s="1705"/>
      <c r="B12" s="1025"/>
      <c r="C12" s="2351"/>
      <c r="D12" s="2354"/>
      <c r="E12" s="1025"/>
      <c r="F12" s="1025"/>
    </row>
    <row r="13" spans="1:6" ht="24" customHeight="1">
      <c r="A13" s="1705" t="s">
        <v>839</v>
      </c>
      <c r="B13" s="1025">
        <f ca="1">IF(C13&lt;B2,"已过期",1120070131)</f>
        <v>1120070131</v>
      </c>
      <c r="C13" s="2351">
        <v>43814</v>
      </c>
      <c r="D13" s="2354" t="s">
        <v>839</v>
      </c>
      <c r="E13" s="1025">
        <v>2014110011</v>
      </c>
      <c r="F13" s="1033">
        <v>49302</v>
      </c>
    </row>
    <row r="14" spans="1:6" ht="24" customHeight="1">
      <c r="A14" s="1705" t="s">
        <v>840</v>
      </c>
      <c r="B14" s="1025">
        <f ca="1">IF(C14&lt;B2,"已过期",1120130020)</f>
        <v>1120130020</v>
      </c>
      <c r="C14" s="2351">
        <v>43622</v>
      </c>
      <c r="D14" s="2354"/>
      <c r="E14" s="1025"/>
      <c r="F14" s="1025"/>
    </row>
    <row r="15" spans="1:6" ht="24" customHeight="1">
      <c r="A15" s="1706" t="s">
        <v>1148</v>
      </c>
      <c r="B15" s="1025">
        <v>1120070085</v>
      </c>
      <c r="C15" s="2351">
        <v>43814</v>
      </c>
      <c r="D15" s="2355" t="s">
        <v>1148</v>
      </c>
      <c r="E15" s="1025">
        <v>2004110128</v>
      </c>
      <c r="F15" s="1026">
        <v>47118</v>
      </c>
    </row>
    <row r="16" spans="1:6" ht="24" customHeight="1">
      <c r="A16" s="1705" t="s">
        <v>841</v>
      </c>
      <c r="B16" s="1025">
        <f ca="1">IF(C16&lt;B2,"已过期",1120140022)</f>
        <v>1120140022</v>
      </c>
      <c r="C16" s="2351">
        <v>44029</v>
      </c>
      <c r="D16" s="2354" t="s">
        <v>841</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842</v>
      </c>
      <c r="E21" s="1025">
        <f ca="1">IF(F21&lt;B2,"已过期",2011110090)</f>
        <v>2011110090</v>
      </c>
      <c r="F21" s="1033">
        <v>48302</v>
      </c>
    </row>
    <row r="22" spans="1:7" ht="24" customHeight="1">
      <c r="A22" s="1705" t="s">
        <v>843</v>
      </c>
      <c r="B22" s="1025">
        <f ca="1">IF(C22&lt;B2,"已过期",1120020033)</f>
        <v>1120020033</v>
      </c>
      <c r="C22" s="2351">
        <v>43304</v>
      </c>
      <c r="D22" s="2354" t="s">
        <v>843</v>
      </c>
      <c r="E22" s="1025">
        <f ca="1">IF(F22&lt;B2,"已过期",2000110137)</f>
        <v>2000110137</v>
      </c>
      <c r="F22" s="1033">
        <v>46387</v>
      </c>
    </row>
    <row r="23" spans="1:7" ht="24" customHeight="1">
      <c r="A23" s="1705" t="s">
        <v>844</v>
      </c>
      <c r="B23" s="1025">
        <f ca="1">IF(C23&lt;B2,"已过期",1120130048)</f>
        <v>1120130048</v>
      </c>
      <c r="C23" s="2351">
        <v>43686</v>
      </c>
      <c r="D23" s="2354"/>
      <c r="E23" s="1025"/>
      <c r="F23" s="1025"/>
    </row>
    <row r="24" spans="1:7" s="1027" customFormat="1" ht="24" customHeight="1">
      <c r="A24" s="1706" t="s">
        <v>1332</v>
      </c>
      <c r="B24" s="1706" t="s">
        <v>1332</v>
      </c>
      <c r="C24" s="2352" t="s">
        <v>1332</v>
      </c>
      <c r="D24" s="2355" t="s">
        <v>1332</v>
      </c>
      <c r="E24" s="1706" t="s">
        <v>1332</v>
      </c>
      <c r="F24" s="1706" t="s">
        <v>1332</v>
      </c>
    </row>
    <row r="25" spans="1:7" ht="24" customHeight="1">
      <c r="A25" s="2991" t="s">
        <v>845</v>
      </c>
      <c r="B25" s="2991"/>
      <c r="C25" s="2991"/>
      <c r="D25" s="2991"/>
      <c r="E25" s="2991"/>
      <c r="F25" s="2991"/>
      <c r="G25" s="2991"/>
    </row>
    <row r="26" spans="1:7" s="1028" customFormat="1" ht="24" customHeight="1">
      <c r="A26" s="2992" t="s">
        <v>846</v>
      </c>
      <c r="B26" s="2992"/>
      <c r="C26" s="2993"/>
      <c r="D26" s="2994" t="s">
        <v>847</v>
      </c>
      <c r="E26" s="2992"/>
      <c r="F26" s="2992"/>
    </row>
    <row r="27" spans="1:7" s="1030" customFormat="1" ht="24" customHeight="1">
      <c r="A27" s="1029" t="s">
        <v>848</v>
      </c>
      <c r="B27" s="1024" t="s">
        <v>849</v>
      </c>
      <c r="C27" s="2350" t="s">
        <v>850</v>
      </c>
      <c r="D27" s="2358" t="s">
        <v>848</v>
      </c>
      <c r="E27" s="1024" t="s">
        <v>849</v>
      </c>
      <c r="F27" s="1024" t="s">
        <v>850</v>
      </c>
    </row>
    <row r="28" spans="1:7" s="1030" customFormat="1" ht="24" customHeight="1">
      <c r="A28" s="1031" t="s">
        <v>851</v>
      </c>
      <c r="B28" s="1032" t="s">
        <v>852</v>
      </c>
      <c r="C28" s="2356">
        <v>43725</v>
      </c>
      <c r="D28" s="2359" t="s">
        <v>853</v>
      </c>
      <c r="E28" s="1031" t="s">
        <v>854</v>
      </c>
      <c r="F28" s="1061">
        <v>44377</v>
      </c>
    </row>
    <row r="29" spans="1:7" s="1030" customFormat="1" ht="24" customHeight="1">
      <c r="A29" s="1031"/>
      <c r="B29" s="1031"/>
      <c r="C29" s="2357"/>
      <c r="D29" s="2359" t="s">
        <v>855</v>
      </c>
      <c r="E29" s="1205" t="s">
        <v>1383</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2018-04-27T07:19:42Z</dcterms:modified>
</cp:coreProperties>
</file>