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商业" sheetId="71"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商业" sheetId="70" state="hidden" r:id="rId32"/>
    <sheet name="不动产收益法-车库" sheetId="69" state="hidden" r:id="rId33"/>
    <sheet name="Sheet1" sheetId="68" r:id="rId34"/>
    <sheet name="不动产收益法-仓储"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'基准地价-商业'!$N$19:$AG$19</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D21" i="12"/>
  <c r="C21"/>
  <c r="D22"/>
  <c r="C22"/>
  <c r="D73" i="39"/>
  <c r="E73"/>
  <c r="F73"/>
  <c r="G73"/>
  <c r="H73"/>
  <c r="I73"/>
  <c r="J73"/>
  <c r="K73"/>
  <c r="L73"/>
  <c r="M73"/>
  <c r="N73"/>
  <c r="G7"/>
  <c r="E7"/>
  <c r="Q29" i="9"/>
  <c r="M8" i="6"/>
  <c r="M7"/>
  <c r="A3" i="3"/>
  <c r="D20" i="72"/>
  <c r="E20"/>
  <c r="F20"/>
  <c r="G20"/>
  <c r="H20"/>
  <c r="I20"/>
  <c r="J20"/>
  <c r="K20"/>
  <c r="L20"/>
  <c r="M20"/>
  <c r="N20"/>
  <c r="C20"/>
  <c r="C5"/>
  <c r="C6"/>
  <c r="C7"/>
  <c r="C8"/>
  <c r="C9"/>
  <c r="C10"/>
  <c r="C11"/>
  <c r="C12"/>
  <c r="C13"/>
  <c r="C14"/>
  <c r="C15"/>
  <c r="C16"/>
  <c r="C17"/>
  <c r="C18"/>
  <c r="C19"/>
  <c r="D5"/>
  <c r="D6"/>
  <c r="D7"/>
  <c r="D8"/>
  <c r="D9"/>
  <c r="D10"/>
  <c r="D11"/>
  <c r="D12"/>
  <c r="D13"/>
  <c r="D14"/>
  <c r="D15"/>
  <c r="D16"/>
  <c r="D17"/>
  <c r="D18"/>
  <c r="D19"/>
  <c r="I5"/>
  <c r="I6"/>
  <c r="I7"/>
  <c r="I8"/>
  <c r="I9"/>
  <c r="I10"/>
  <c r="I11"/>
  <c r="I12"/>
  <c r="I13"/>
  <c r="I14"/>
  <c r="I15"/>
  <c r="I16"/>
  <c r="I17"/>
  <c r="I18"/>
  <c r="I19"/>
  <c r="I4"/>
  <c r="D4"/>
  <c r="C4"/>
  <c r="F15"/>
  <c r="O5" i="3"/>
  <c r="F20" i="6"/>
  <c r="D29" i="71"/>
  <c r="BE23" i="3"/>
  <c r="BE24"/>
  <c r="BE25"/>
  <c r="BE26"/>
  <c r="BE27"/>
  <c r="BE28"/>
  <c r="BE5"/>
  <c r="E8" i="6"/>
  <c r="F27"/>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
  <c r="F28" i="6"/>
  <c r="BM13" i="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
  <c r="F29" i="6"/>
  <c r="F30"/>
  <c r="F31"/>
  <c r="BA23" i="3"/>
  <c r="BN23"/>
  <c r="BP23"/>
  <c r="BR23"/>
  <c r="BT23"/>
  <c r="BL23"/>
  <c r="AZ23"/>
  <c r="BA24"/>
  <c r="BN24"/>
  <c r="BP24"/>
  <c r="BR24"/>
  <c r="BT24"/>
  <c r="BL24"/>
  <c r="AZ24"/>
  <c r="BA25"/>
  <c r="BN25"/>
  <c r="BP25"/>
  <c r="BR25"/>
  <c r="BT25"/>
  <c r="BL25"/>
  <c r="AZ25"/>
  <c r="BA26"/>
  <c r="BN26"/>
  <c r="BP26"/>
  <c r="BR26"/>
  <c r="BT26"/>
  <c r="BL26"/>
  <c r="AZ26"/>
  <c r="BA27"/>
  <c r="BN27"/>
  <c r="BP27"/>
  <c r="BR27"/>
  <c r="BT27"/>
  <c r="BL27"/>
  <c r="AZ27"/>
  <c r="BA28"/>
  <c r="BN28"/>
  <c r="BP28"/>
  <c r="BR28"/>
  <c r="BT28"/>
  <c r="BL28"/>
  <c r="AZ28"/>
  <c r="BN13"/>
  <c r="BP13"/>
  <c r="BR13"/>
  <c r="BT13"/>
  <c r="BL13"/>
  <c r="AZ13"/>
  <c r="BN14"/>
  <c r="BP14"/>
  <c r="BR14"/>
  <c r="BT14"/>
  <c r="BL14"/>
  <c r="AZ14"/>
  <c r="BN15"/>
  <c r="BP15"/>
  <c r="BR15"/>
  <c r="BT15"/>
  <c r="BL15"/>
  <c r="AZ15"/>
  <c r="BN16"/>
  <c r="BP16"/>
  <c r="BR16"/>
  <c r="BT16"/>
  <c r="BL16"/>
  <c r="AZ16"/>
  <c r="BN17"/>
  <c r="BP17"/>
  <c r="BR17"/>
  <c r="BT17"/>
  <c r="BL17"/>
  <c r="AZ17"/>
  <c r="BN18"/>
  <c r="BP18"/>
  <c r="BR18"/>
  <c r="BT18"/>
  <c r="BL18"/>
  <c r="AZ18"/>
  <c r="BN19"/>
  <c r="BP19"/>
  <c r="BR19"/>
  <c r="BT19"/>
  <c r="BL19"/>
  <c r="AZ19"/>
  <c r="BN20"/>
  <c r="BP20"/>
  <c r="BR20"/>
  <c r="BT20"/>
  <c r="BL20"/>
  <c r="AZ20"/>
  <c r="BN21"/>
  <c r="BP21"/>
  <c r="BR21"/>
  <c r="BT21"/>
  <c r="BL21"/>
  <c r="AZ21"/>
  <c r="BN22"/>
  <c r="BP22"/>
  <c r="BR22"/>
  <c r="BT22"/>
  <c r="BL22"/>
  <c r="AZ22"/>
  <c r="BN29"/>
  <c r="BP29"/>
  <c r="BR29"/>
  <c r="BT29"/>
  <c r="BL29"/>
  <c r="AZ29"/>
  <c r="BN30"/>
  <c r="BP30"/>
  <c r="BR30"/>
  <c r="BT30"/>
  <c r="BL30"/>
  <c r="AZ30"/>
  <c r="BN31"/>
  <c r="BP31"/>
  <c r="BR31"/>
  <c r="BT31"/>
  <c r="BL31"/>
  <c r="AZ31"/>
  <c r="BN32"/>
  <c r="BP32"/>
  <c r="BR32"/>
  <c r="BT32"/>
  <c r="BL32"/>
  <c r="AZ32"/>
  <c r="BN33"/>
  <c r="BP33"/>
  <c r="BR33"/>
  <c r="BT33"/>
  <c r="BL33"/>
  <c r="AZ33"/>
  <c r="BN34"/>
  <c r="BP34"/>
  <c r="BR34"/>
  <c r="BT34"/>
  <c r="BL34"/>
  <c r="AZ34"/>
  <c r="BN35"/>
  <c r="BP35"/>
  <c r="BR35"/>
  <c r="BT35"/>
  <c r="BL35"/>
  <c r="AZ35"/>
  <c r="BN36"/>
  <c r="BP36"/>
  <c r="BR36"/>
  <c r="BT36"/>
  <c r="BL36"/>
  <c r="AZ36"/>
  <c r="BN37"/>
  <c r="BP37"/>
  <c r="BR37"/>
  <c r="BT37"/>
  <c r="BL37"/>
  <c r="AZ37"/>
  <c r="BN38"/>
  <c r="BP38"/>
  <c r="BR38"/>
  <c r="BT38"/>
  <c r="BL38"/>
  <c r="AZ38"/>
  <c r="BN39"/>
  <c r="BP39"/>
  <c r="BR39"/>
  <c r="BT39"/>
  <c r="BL39"/>
  <c r="AZ39"/>
  <c r="BN40"/>
  <c r="BP40"/>
  <c r="BR40"/>
  <c r="BT40"/>
  <c r="BL40"/>
  <c r="AZ40"/>
  <c r="BN41"/>
  <c r="BP41"/>
  <c r="BR41"/>
  <c r="BT41"/>
  <c r="BL41"/>
  <c r="AZ41"/>
  <c r="BN42"/>
  <c r="BP42"/>
  <c r="BR42"/>
  <c r="BT42"/>
  <c r="BL42"/>
  <c r="AZ42"/>
  <c r="BN43"/>
  <c r="BP43"/>
  <c r="BR43"/>
  <c r="BT43"/>
  <c r="BL43"/>
  <c r="AZ43"/>
  <c r="BN44"/>
  <c r="BP44"/>
  <c r="BR44"/>
  <c r="BT44"/>
  <c r="BL44"/>
  <c r="AZ44"/>
  <c r="BN45"/>
  <c r="BP45"/>
  <c r="BR45"/>
  <c r="BT45"/>
  <c r="BL45"/>
  <c r="AZ45"/>
  <c r="BN46"/>
  <c r="BP46"/>
  <c r="BR46"/>
  <c r="BT46"/>
  <c r="BL46"/>
  <c r="AZ46"/>
  <c r="BN47"/>
  <c r="BP47"/>
  <c r="BR47"/>
  <c r="BT47"/>
  <c r="BL47"/>
  <c r="AZ47"/>
  <c r="BN48"/>
  <c r="BP48"/>
  <c r="BR48"/>
  <c r="BT48"/>
  <c r="BL48"/>
  <c r="AZ48"/>
  <c r="BN49"/>
  <c r="BP49"/>
  <c r="BR49"/>
  <c r="BT49"/>
  <c r="BL49"/>
  <c r="AZ49"/>
  <c r="BN50"/>
  <c r="BP50"/>
  <c r="BR50"/>
  <c r="BT50"/>
  <c r="BL50"/>
  <c r="AZ50"/>
  <c r="BN51"/>
  <c r="BP51"/>
  <c r="BR51"/>
  <c r="BT51"/>
  <c r="BL51"/>
  <c r="AZ51"/>
  <c r="AZ5"/>
  <c r="H23"/>
  <c r="AC23"/>
  <c r="G23"/>
  <c r="H24"/>
  <c r="AC24"/>
  <c r="G24"/>
  <c r="H25"/>
  <c r="AC25"/>
  <c r="G25"/>
  <c r="H26"/>
  <c r="AC26"/>
  <c r="G26"/>
  <c r="H27"/>
  <c r="AC27"/>
  <c r="G27"/>
  <c r="H28"/>
  <c r="AC28"/>
  <c r="G28"/>
  <c r="AC13"/>
  <c r="G13"/>
  <c r="AC14"/>
  <c r="G14"/>
  <c r="AC15"/>
  <c r="G15"/>
  <c r="AC16"/>
  <c r="G16"/>
  <c r="AC17"/>
  <c r="G17"/>
  <c r="AC18"/>
  <c r="G18"/>
  <c r="AC19"/>
  <c r="G19"/>
  <c r="AC20"/>
  <c r="G20"/>
  <c r="AC21"/>
  <c r="G21"/>
  <c r="AC22"/>
  <c r="G22"/>
  <c r="AC29"/>
  <c r="G29"/>
  <c r="AC30"/>
  <c r="G30"/>
  <c r="AC31"/>
  <c r="G31"/>
  <c r="AC32"/>
  <c r="G32"/>
  <c r="AC33"/>
  <c r="G33"/>
  <c r="AC34"/>
  <c r="G34"/>
  <c r="AC35"/>
  <c r="G35"/>
  <c r="AC36"/>
  <c r="G36"/>
  <c r="AC37"/>
  <c r="G37"/>
  <c r="AC38"/>
  <c r="G38"/>
  <c r="AC39"/>
  <c r="G39"/>
  <c r="AC40"/>
  <c r="G40"/>
  <c r="AC41"/>
  <c r="G41"/>
  <c r="AC42"/>
  <c r="G42"/>
  <c r="AC43"/>
  <c r="G43"/>
  <c r="AC44"/>
  <c r="G44"/>
  <c r="AC45"/>
  <c r="G45"/>
  <c r="AC46"/>
  <c r="G46"/>
  <c r="AC47"/>
  <c r="G47"/>
  <c r="AC48"/>
  <c r="G48"/>
  <c r="AC49"/>
  <c r="G49"/>
  <c r="AC50"/>
  <c r="G50"/>
  <c r="AC51"/>
  <c r="G51"/>
  <c r="G5"/>
  <c r="B3"/>
  <c r="AY6"/>
  <c r="D3" i="6"/>
  <c r="E3"/>
  <c r="D19"/>
  <c r="E20"/>
  <c r="D20"/>
  <c r="D21"/>
  <c r="D22"/>
  <c r="D23"/>
  <c r="D24"/>
  <c r="D25"/>
  <c r="D26"/>
  <c r="D27"/>
  <c r="BR5" i="3"/>
  <c r="BT5"/>
  <c r="G28" i="6"/>
  <c r="E28"/>
  <c r="D28"/>
  <c r="BN5" i="3"/>
  <c r="BP5"/>
  <c r="G29" i="6"/>
  <c r="E29"/>
  <c r="D29"/>
  <c r="D30"/>
  <c r="D31"/>
  <c r="I6"/>
  <c r="G3" i="71"/>
  <c r="B113"/>
  <c r="I118"/>
  <c r="J118"/>
  <c r="K118"/>
  <c r="L118"/>
  <c r="M118"/>
  <c r="G118"/>
  <c r="H118"/>
  <c r="D118"/>
  <c r="E118"/>
  <c r="F118"/>
  <c r="B118"/>
  <c r="C118"/>
  <c r="I117"/>
  <c r="J117"/>
  <c r="K117"/>
  <c r="L117"/>
  <c r="M117"/>
  <c r="D117"/>
  <c r="E117"/>
  <c r="F117"/>
  <c r="G117"/>
  <c r="H117"/>
  <c r="B117"/>
  <c r="C117"/>
  <c r="I116"/>
  <c r="J116"/>
  <c r="K116"/>
  <c r="L116"/>
  <c r="M116"/>
  <c r="D116"/>
  <c r="E116"/>
  <c r="F116"/>
  <c r="G116"/>
  <c r="H116"/>
  <c r="B116"/>
  <c r="C116"/>
  <c r="I115"/>
  <c r="J115"/>
  <c r="K115"/>
  <c r="L115"/>
  <c r="M115"/>
  <c r="D115"/>
  <c r="E115"/>
  <c r="F115"/>
  <c r="G115"/>
  <c r="H115"/>
  <c r="B115"/>
  <c r="C115"/>
  <c r="G2"/>
  <c r="H113"/>
  <c r="F113"/>
  <c r="D113"/>
  <c r="N99"/>
  <c r="N108"/>
  <c r="N101"/>
  <c r="N109"/>
  <c r="M99"/>
  <c r="M108"/>
  <c r="M101"/>
  <c r="M109"/>
  <c r="L99"/>
  <c r="L108"/>
  <c r="L101"/>
  <c r="L109"/>
  <c r="K99"/>
  <c r="K108"/>
  <c r="K101"/>
  <c r="K109"/>
  <c r="J99"/>
  <c r="J108"/>
  <c r="J101"/>
  <c r="J109"/>
  <c r="I99"/>
  <c r="I108"/>
  <c r="I101"/>
  <c r="I109"/>
  <c r="H99"/>
  <c r="H108"/>
  <c r="H101"/>
  <c r="H109"/>
  <c r="G99"/>
  <c r="G108"/>
  <c r="G101"/>
  <c r="G109"/>
  <c r="F99"/>
  <c r="F108"/>
  <c r="F101"/>
  <c r="F109"/>
  <c r="E99"/>
  <c r="E108"/>
  <c r="E101"/>
  <c r="E109"/>
  <c r="D99"/>
  <c r="D108"/>
  <c r="D101"/>
  <c r="D109"/>
  <c r="C99"/>
  <c r="C108"/>
  <c r="C101"/>
  <c r="C109"/>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0"/>
  <c r="M100"/>
  <c r="L100"/>
  <c r="K100"/>
  <c r="J100"/>
  <c r="I100"/>
  <c r="H100"/>
  <c r="G100"/>
  <c r="F100"/>
  <c r="E100"/>
  <c r="D100"/>
  <c r="C100"/>
  <c r="M87"/>
  <c r="N87"/>
  <c r="K87"/>
  <c r="J87"/>
  <c r="F80"/>
  <c r="H87"/>
  <c r="D87"/>
  <c r="B87"/>
  <c r="M86"/>
  <c r="N86"/>
  <c r="K86"/>
  <c r="J86"/>
  <c r="H86"/>
  <c r="D86"/>
  <c r="M85"/>
  <c r="N85"/>
  <c r="K85"/>
  <c r="J85"/>
  <c r="H85"/>
  <c r="D85"/>
  <c r="B85"/>
  <c r="M84"/>
  <c r="N84"/>
  <c r="K84"/>
  <c r="J84"/>
  <c r="H84"/>
  <c r="D84"/>
  <c r="B84"/>
  <c r="M83"/>
  <c r="N83"/>
  <c r="K83"/>
  <c r="J83"/>
  <c r="H83"/>
  <c r="D83"/>
  <c r="B83"/>
  <c r="M82"/>
  <c r="N82"/>
  <c r="K82"/>
  <c r="J82"/>
  <c r="H82"/>
  <c r="D82"/>
  <c r="B82"/>
  <c r="M81"/>
  <c r="N81"/>
  <c r="K81"/>
  <c r="J81"/>
  <c r="H81"/>
  <c r="D81"/>
  <c r="B81"/>
  <c r="M80"/>
  <c r="N80"/>
  <c r="K80"/>
  <c r="J80"/>
  <c r="H80"/>
  <c r="D80"/>
  <c r="E80"/>
  <c r="B80"/>
  <c r="B78"/>
  <c r="M77"/>
  <c r="N77"/>
  <c r="K77"/>
  <c r="J77"/>
  <c r="I2"/>
  <c r="N8"/>
  <c r="F69"/>
  <c r="H77"/>
  <c r="D77"/>
  <c r="M76"/>
  <c r="N76"/>
  <c r="K76"/>
  <c r="J76"/>
  <c r="H76"/>
  <c r="D76"/>
  <c r="C20" i="20"/>
  <c r="B76" i="71"/>
  <c r="M75"/>
  <c r="N75"/>
  <c r="K75"/>
  <c r="J75"/>
  <c r="H75"/>
  <c r="D75"/>
  <c r="M74"/>
  <c r="N74"/>
  <c r="K74"/>
  <c r="J74"/>
  <c r="H74"/>
  <c r="D74"/>
  <c r="C22" i="20"/>
  <c r="B74" i="71"/>
  <c r="M73"/>
  <c r="N73"/>
  <c r="K73"/>
  <c r="J73"/>
  <c r="H73"/>
  <c r="D73"/>
  <c r="B73"/>
  <c r="M72"/>
  <c r="N72"/>
  <c r="K72"/>
  <c r="J72"/>
  <c r="H72"/>
  <c r="D72"/>
  <c r="B72"/>
  <c r="M71"/>
  <c r="N71"/>
  <c r="K71"/>
  <c r="J71"/>
  <c r="H71"/>
  <c r="D71"/>
  <c r="B71"/>
  <c r="M70"/>
  <c r="N70"/>
  <c r="K70"/>
  <c r="J70"/>
  <c r="H70"/>
  <c r="D70"/>
  <c r="C18" i="20"/>
  <c r="B70" i="71"/>
  <c r="M69"/>
  <c r="N69"/>
  <c r="K69"/>
  <c r="J69"/>
  <c r="H69"/>
  <c r="D69"/>
  <c r="E69"/>
  <c r="C15" i="20"/>
  <c r="B69" i="71"/>
  <c r="B67"/>
  <c r="M66"/>
  <c r="N66"/>
  <c r="K66"/>
  <c r="J66"/>
  <c r="F58"/>
  <c r="H66"/>
  <c r="D66"/>
  <c r="B66"/>
  <c r="M65"/>
  <c r="N65"/>
  <c r="K65"/>
  <c r="J65"/>
  <c r="H65"/>
  <c r="D65"/>
  <c r="B65"/>
  <c r="M64"/>
  <c r="N64"/>
  <c r="K64"/>
  <c r="J64"/>
  <c r="H64"/>
  <c r="D64"/>
  <c r="B64"/>
  <c r="M63"/>
  <c r="N63"/>
  <c r="K63"/>
  <c r="J63"/>
  <c r="H63"/>
  <c r="D63"/>
  <c r="M62"/>
  <c r="N62"/>
  <c r="K62"/>
  <c r="J62"/>
  <c r="H62"/>
  <c r="D62"/>
  <c r="B62"/>
  <c r="M61"/>
  <c r="N61"/>
  <c r="K61"/>
  <c r="J61"/>
  <c r="H61"/>
  <c r="D61"/>
  <c r="M60"/>
  <c r="N60"/>
  <c r="K60"/>
  <c r="J60"/>
  <c r="H60"/>
  <c r="D60"/>
  <c r="B60"/>
  <c r="M59"/>
  <c r="N59"/>
  <c r="K59"/>
  <c r="J59"/>
  <c r="H59"/>
  <c r="D59"/>
  <c r="B59"/>
  <c r="M58"/>
  <c r="N58"/>
  <c r="K58"/>
  <c r="J58"/>
  <c r="H58"/>
  <c r="D58"/>
  <c r="E58"/>
  <c r="C17" i="20"/>
  <c r="B58" i="71"/>
  <c r="B56"/>
  <c r="M55"/>
  <c r="N55"/>
  <c r="K55"/>
  <c r="J55"/>
  <c r="F47"/>
  <c r="H55"/>
  <c r="D55"/>
  <c r="B55"/>
  <c r="M54"/>
  <c r="N54"/>
  <c r="K54"/>
  <c r="J54"/>
  <c r="H54"/>
  <c r="D54"/>
  <c r="B54"/>
  <c r="M53"/>
  <c r="N53"/>
  <c r="K53"/>
  <c r="J53"/>
  <c r="H53"/>
  <c r="D53"/>
  <c r="B53"/>
  <c r="M52"/>
  <c r="N52"/>
  <c r="K52"/>
  <c r="J52"/>
  <c r="H52"/>
  <c r="D52"/>
  <c r="M51"/>
  <c r="N51"/>
  <c r="K51"/>
  <c r="J51"/>
  <c r="H51"/>
  <c r="D51"/>
  <c r="B51"/>
  <c r="M50"/>
  <c r="N50"/>
  <c r="K50"/>
  <c r="J50"/>
  <c r="H50"/>
  <c r="D50"/>
  <c r="M49"/>
  <c r="N49"/>
  <c r="K49"/>
  <c r="J49"/>
  <c r="H49"/>
  <c r="D49"/>
  <c r="B49"/>
  <c r="M48"/>
  <c r="N48"/>
  <c r="K48"/>
  <c r="J48"/>
  <c r="H48"/>
  <c r="D48"/>
  <c r="B48"/>
  <c r="M47"/>
  <c r="N47"/>
  <c r="K47"/>
  <c r="J47"/>
  <c r="H47"/>
  <c r="D47"/>
  <c r="E47"/>
  <c r="C16" i="20"/>
  <c r="B47" i="71"/>
  <c r="B45"/>
  <c r="M8"/>
  <c r="C6"/>
  <c r="C15"/>
  <c r="D15"/>
  <c r="E15"/>
  <c r="F15"/>
  <c r="C12"/>
  <c r="G17"/>
  <c r="H17"/>
  <c r="I17"/>
  <c r="J17"/>
  <c r="C17"/>
  <c r="C16"/>
  <c r="C5"/>
  <c r="B2" i="1"/>
  <c r="G19" i="71"/>
  <c r="M20"/>
  <c r="M19"/>
  <c r="C19"/>
  <c r="I4" i="65"/>
  <c r="E20" i="71"/>
  <c r="O17"/>
  <c r="M17"/>
  <c r="G20"/>
  <c r="J20"/>
  <c r="F7" i="1"/>
  <c r="I20" i="71"/>
  <c r="C20"/>
  <c r="C24"/>
  <c r="F39"/>
  <c r="C39"/>
  <c r="G39"/>
  <c r="H39"/>
  <c r="I39"/>
  <c r="E39"/>
  <c r="F38"/>
  <c r="C38"/>
  <c r="G38"/>
  <c r="H38"/>
  <c r="I38"/>
  <c r="E38"/>
  <c r="F37"/>
  <c r="C37"/>
  <c r="G37"/>
  <c r="H37"/>
  <c r="I37"/>
  <c r="E37"/>
  <c r="D5"/>
  <c r="F36"/>
  <c r="C36"/>
  <c r="G36"/>
  <c r="H36"/>
  <c r="I36"/>
  <c r="E36"/>
  <c r="F35"/>
  <c r="C35"/>
  <c r="G35"/>
  <c r="H35"/>
  <c r="I35"/>
  <c r="E35"/>
  <c r="F34"/>
  <c r="C34"/>
  <c r="G34"/>
  <c r="H34"/>
  <c r="I34"/>
  <c r="E34"/>
  <c r="F33"/>
  <c r="C33"/>
  <c r="G33"/>
  <c r="H33"/>
  <c r="I33"/>
  <c r="E33"/>
  <c r="C18"/>
  <c r="E22"/>
  <c r="G22"/>
  <c r="F22"/>
  <c r="H22"/>
  <c r="D22"/>
  <c r="C23"/>
  <c r="C21"/>
  <c r="C29"/>
  <c r="C30"/>
  <c r="E30"/>
  <c r="E29"/>
  <c r="C27"/>
  <c r="C26"/>
  <c r="P25"/>
  <c r="P24"/>
  <c r="P23"/>
  <c r="P22"/>
  <c r="J22"/>
  <c r="P21"/>
  <c r="O19"/>
  <c r="I19"/>
  <c r="P17"/>
  <c r="N17"/>
  <c r="E17"/>
  <c r="T16"/>
  <c r="V16"/>
  <c r="T15"/>
  <c r="V15"/>
  <c r="T14"/>
  <c r="V14"/>
  <c r="AJ9"/>
  <c r="AJ12"/>
  <c r="AJ11"/>
  <c r="AJ13"/>
  <c r="AI9"/>
  <c r="AI12"/>
  <c r="AI11"/>
  <c r="AI13"/>
  <c r="AH9"/>
  <c r="AH12"/>
  <c r="AH11"/>
  <c r="AH13"/>
  <c r="AG9"/>
  <c r="AG12"/>
  <c r="AG11"/>
  <c r="AG13"/>
  <c r="AF9"/>
  <c r="AF12"/>
  <c r="AF11"/>
  <c r="AF13"/>
  <c r="AE9"/>
  <c r="AE12"/>
  <c r="AE11"/>
  <c r="AE13"/>
  <c r="AD9"/>
  <c r="AD12"/>
  <c r="AD11"/>
  <c r="AD13"/>
  <c r="AC9"/>
  <c r="AC12"/>
  <c r="AC11"/>
  <c r="AC13"/>
  <c r="AB9"/>
  <c r="AB12"/>
  <c r="AB11"/>
  <c r="AB13"/>
  <c r="AA9"/>
  <c r="AA12"/>
  <c r="AA11"/>
  <c r="AA13"/>
  <c r="Z9"/>
  <c r="Z12"/>
  <c r="Z11"/>
  <c r="Z13"/>
  <c r="Y12"/>
  <c r="Y11"/>
  <c r="Y13"/>
  <c r="T13"/>
  <c r="V13"/>
  <c r="T12"/>
  <c r="V12"/>
  <c r="N12"/>
  <c r="M12"/>
  <c r="T11"/>
  <c r="V11"/>
  <c r="N11"/>
  <c r="M11"/>
  <c r="C10"/>
  <c r="C11"/>
  <c r="E11"/>
  <c r="AJ10"/>
  <c r="AI10"/>
  <c r="AH10"/>
  <c r="AG10"/>
  <c r="AF10"/>
  <c r="AE10"/>
  <c r="AD10"/>
  <c r="AC10"/>
  <c r="AB10"/>
  <c r="AA10"/>
  <c r="Z10"/>
  <c r="Y10"/>
  <c r="T10"/>
  <c r="V10"/>
  <c r="N10"/>
  <c r="M10"/>
  <c r="E10"/>
  <c r="T9"/>
  <c r="V9"/>
  <c r="N9"/>
  <c r="M9"/>
  <c r="E9"/>
  <c r="C9"/>
  <c r="T8"/>
  <c r="V8"/>
  <c r="E8"/>
  <c r="Z7"/>
  <c r="X7"/>
  <c r="S7"/>
  <c r="T7"/>
  <c r="V7"/>
  <c r="N7"/>
  <c r="M7"/>
  <c r="C7"/>
  <c r="A7"/>
  <c r="S6"/>
  <c r="T6"/>
  <c r="V6"/>
  <c r="N6"/>
  <c r="M6"/>
  <c r="S5"/>
  <c r="T5"/>
  <c r="V5"/>
  <c r="N5"/>
  <c r="M5"/>
  <c r="S4"/>
  <c r="T4"/>
  <c r="V4"/>
  <c r="N4"/>
  <c r="M4"/>
  <c r="B2"/>
  <c r="D4"/>
  <c r="B4"/>
  <c r="S3"/>
  <c r="T3"/>
  <c r="V3"/>
  <c r="N3"/>
  <c r="M3"/>
  <c r="D1"/>
  <c r="B3"/>
  <c r="S2"/>
  <c r="T2"/>
  <c r="V2"/>
  <c r="N2"/>
  <c r="M2"/>
  <c r="N1"/>
  <c r="M1"/>
  <c r="D39" i="46"/>
  <c r="D38"/>
  <c r="D29"/>
  <c r="E37" i="9"/>
  <c r="E38"/>
  <c r="C38"/>
  <c r="C37"/>
  <c r="B38"/>
  <c r="B37"/>
  <c r="B36"/>
  <c r="E36"/>
  <c r="C7" i="35"/>
  <c r="C48"/>
  <c r="D48"/>
  <c r="E48"/>
  <c r="F48"/>
  <c r="G48"/>
  <c r="H48"/>
  <c r="I48"/>
  <c r="J48"/>
  <c r="K48"/>
  <c r="L48"/>
  <c r="M48"/>
  <c r="N48"/>
  <c r="O48"/>
  <c r="F7"/>
  <c r="AA7"/>
  <c r="F28"/>
  <c r="AA28"/>
  <c r="R38"/>
  <c r="H7"/>
  <c r="AB7"/>
  <c r="H28"/>
  <c r="AB28"/>
  <c r="T38"/>
  <c r="J7"/>
  <c r="AC7"/>
  <c r="J28"/>
  <c r="AC28"/>
  <c r="V38"/>
  <c r="R39"/>
  <c r="C39"/>
  <c r="B3"/>
  <c r="D3"/>
  <c r="B2"/>
  <c r="F10" i="12"/>
  <c r="F8"/>
  <c r="E49" i="35"/>
  <c r="F49"/>
  <c r="G49"/>
  <c r="H49"/>
  <c r="I49"/>
  <c r="J49"/>
  <c r="K49"/>
  <c r="L49"/>
  <c r="M49"/>
  <c r="N49"/>
  <c r="O49"/>
  <c r="D49"/>
  <c r="P75" i="70"/>
  <c r="Q73"/>
  <c r="P62"/>
  <c r="Q60"/>
  <c r="D60"/>
  <c r="Q59"/>
  <c r="K59"/>
  <c r="F58"/>
  <c r="Q52"/>
  <c r="J50"/>
  <c r="J51"/>
  <c r="M47"/>
  <c r="L46"/>
  <c r="B52" i="1"/>
  <c r="F34" i="70"/>
  <c r="F61"/>
  <c r="F33"/>
  <c r="F60"/>
  <c r="B43" i="1"/>
  <c r="B41"/>
  <c r="F32" i="70"/>
  <c r="F59"/>
  <c r="F31"/>
  <c r="F28"/>
  <c r="C42" i="1"/>
  <c r="C28" i="70"/>
  <c r="F23"/>
  <c r="D24"/>
  <c r="D23"/>
  <c r="D22"/>
  <c r="F21"/>
  <c r="M20"/>
  <c r="F20"/>
  <c r="M19"/>
  <c r="M18"/>
  <c r="F18"/>
  <c r="M17"/>
  <c r="F17"/>
  <c r="F15"/>
  <c r="A6" i="1"/>
  <c r="A7"/>
  <c r="G1" i="70"/>
  <c r="P75" i="69"/>
  <c r="Q73"/>
  <c r="P62"/>
  <c r="Q60"/>
  <c r="D60"/>
  <c r="Q59"/>
  <c r="K59"/>
  <c r="F58"/>
  <c r="Q52"/>
  <c r="J50"/>
  <c r="J51"/>
  <c r="M47"/>
  <c r="L46"/>
  <c r="F34"/>
  <c r="F33"/>
  <c r="F60"/>
  <c r="F32"/>
  <c r="F59"/>
  <c r="F31"/>
  <c r="F28"/>
  <c r="C28"/>
  <c r="F23"/>
  <c r="D24"/>
  <c r="D23"/>
  <c r="D22"/>
  <c r="F21"/>
  <c r="M20"/>
  <c r="F20"/>
  <c r="M19"/>
  <c r="M18"/>
  <c r="F18"/>
  <c r="M17"/>
  <c r="F17"/>
  <c r="F15"/>
  <c r="A8" i="1"/>
  <c r="A9"/>
  <c r="G1" i="69"/>
  <c r="I48" i="39"/>
  <c r="G48"/>
  <c r="E48"/>
  <c r="I40"/>
  <c r="G40"/>
  <c r="E40"/>
  <c r="C40"/>
  <c r="I13"/>
  <c r="G13"/>
  <c r="E13"/>
  <c r="C12"/>
  <c r="C7"/>
  <c r="I7"/>
  <c r="I9"/>
  <c r="G9"/>
  <c r="E9"/>
  <c r="L14" i="1"/>
  <c r="AH5" i="3"/>
  <c r="E9" i="6"/>
  <c r="G22"/>
  <c r="G21"/>
  <c r="F19"/>
  <c r="C11" i="4"/>
  <c r="D3"/>
  <c r="M24" i="70"/>
  <c r="F42"/>
  <c r="M28"/>
  <c r="F9"/>
  <c r="M28" i="69"/>
  <c r="F36" i="70"/>
  <c r="M22"/>
  <c r="M24" i="69"/>
  <c r="D9" i="1"/>
  <c r="L47" i="69"/>
  <c r="F8"/>
  <c r="F36"/>
  <c r="F9"/>
  <c r="F42"/>
  <c r="F8" i="70"/>
  <c r="M22" i="69"/>
  <c r="D7" i="1"/>
  <c r="L47" i="70"/>
  <c r="F50"/>
  <c r="F63"/>
  <c r="L59"/>
  <c r="F50" i="69"/>
  <c r="F63"/>
  <c r="L59"/>
  <c r="F61"/>
  <c r="L3" i="59"/>
  <c r="K3"/>
  <c r="J3"/>
  <c r="I3"/>
  <c r="AH5"/>
  <c r="AG5"/>
  <c r="AE5"/>
  <c r="AF5"/>
  <c r="AD5"/>
  <c r="Q5"/>
  <c r="Q6"/>
  <c r="AB5"/>
  <c r="P5"/>
  <c r="P6"/>
  <c r="AA5"/>
  <c r="O5"/>
  <c r="O6"/>
  <c r="Y5"/>
  <c r="Z5"/>
  <c r="N5"/>
  <c r="N6"/>
  <c r="X5"/>
  <c r="F6"/>
  <c r="F5"/>
  <c r="E6"/>
  <c r="E5"/>
  <c r="C6"/>
  <c r="C5"/>
  <c r="D5"/>
  <c r="B6"/>
  <c r="B5"/>
  <c r="AH6"/>
  <c r="AG6"/>
  <c r="AE6"/>
  <c r="AF6"/>
  <c r="AD6"/>
  <c r="Q7"/>
  <c r="AB6"/>
  <c r="P7"/>
  <c r="AA6"/>
  <c r="O7"/>
  <c r="Y6"/>
  <c r="Z6"/>
  <c r="N7"/>
  <c r="X6"/>
  <c r="F7"/>
  <c r="E7"/>
  <c r="C7"/>
  <c r="D6"/>
  <c r="B7"/>
  <c r="D7"/>
  <c r="M19" i="46"/>
  <c r="J50" i="15"/>
  <c r="J51"/>
  <c r="D9" i="59"/>
  <c r="AH7"/>
  <c r="AG7"/>
  <c r="AE7"/>
  <c r="AF7"/>
  <c r="AD7"/>
  <c r="AE8"/>
  <c r="AF8"/>
  <c r="AG8"/>
  <c r="AH8"/>
  <c r="AD8"/>
  <c r="Q8"/>
  <c r="AB7"/>
  <c r="P8"/>
  <c r="AA7"/>
  <c r="O8"/>
  <c r="Y7"/>
  <c r="Z7"/>
  <c r="N8"/>
  <c r="X7"/>
  <c r="N9"/>
  <c r="Q9"/>
  <c r="P9"/>
  <c r="O9"/>
  <c r="K59" i="15"/>
  <c r="P62"/>
  <c r="P75"/>
  <c r="Q74" i="44"/>
  <c r="Q61"/>
  <c r="Q60"/>
  <c r="Q53"/>
  <c r="J51"/>
  <c r="J52"/>
  <c r="M48"/>
  <c r="A16" i="55"/>
  <c r="B67" i="63"/>
  <c r="A15" i="55"/>
  <c r="A10"/>
  <c r="A9"/>
  <c r="A8"/>
  <c r="A6" i="54"/>
  <c r="A8"/>
  <c r="A7"/>
  <c r="A28" i="51"/>
  <c r="N4" i="63"/>
  <c r="A27" i="51"/>
  <c r="G2" i="46"/>
  <c r="I2"/>
  <c r="M8"/>
  <c r="C6"/>
  <c r="G17"/>
  <c r="H17"/>
  <c r="I17"/>
  <c r="J17"/>
  <c r="C17"/>
  <c r="C16"/>
  <c r="D5"/>
  <c r="Q10" i="59"/>
  <c r="AB8"/>
  <c r="O10"/>
  <c r="Y8"/>
  <c r="Z8"/>
  <c r="N11"/>
  <c r="O11"/>
  <c r="P11"/>
  <c r="Q11"/>
  <c r="N10"/>
  <c r="X8"/>
  <c r="P10"/>
  <c r="AA8"/>
  <c r="B12"/>
  <c r="C12"/>
  <c r="D12"/>
  <c r="E12"/>
  <c r="F12"/>
  <c r="K75" i="9"/>
  <c r="K6" i="4"/>
  <c r="O76" i="9"/>
  <c r="B22" i="31"/>
  <c r="E15" i="66"/>
  <c r="F15"/>
  <c r="E16"/>
  <c r="F16"/>
  <c r="E17"/>
  <c r="F17"/>
  <c r="E18"/>
  <c r="F18"/>
  <c r="E19"/>
  <c r="F19"/>
  <c r="E20"/>
  <c r="F20"/>
  <c r="E21"/>
  <c r="F21"/>
  <c r="E22"/>
  <c r="F22"/>
  <c r="E23"/>
  <c r="F23"/>
  <c r="B3"/>
  <c r="V12" i="59"/>
  <c r="U12"/>
  <c r="T12"/>
  <c r="S12"/>
  <c r="B11"/>
  <c r="B10"/>
  <c r="B8"/>
  <c r="E11"/>
  <c r="E10"/>
  <c r="E8"/>
  <c r="C11"/>
  <c r="F11"/>
  <c r="F10"/>
  <c r="F8"/>
  <c r="V8"/>
  <c r="U8"/>
  <c r="S8"/>
  <c r="D11"/>
  <c r="C10"/>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D10"/>
  <c r="S2" i="31"/>
  <c r="M2"/>
  <c r="N2"/>
  <c r="O2"/>
  <c r="P2"/>
  <c r="Q2"/>
  <c r="R2"/>
  <c r="C8" i="59"/>
  <c r="C3" i="65"/>
  <c r="C1"/>
  <c r="N1"/>
  <c r="T8" i="59"/>
  <c r="D8"/>
  <c r="H1" i="65"/>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B75" i="63"/>
  <c r="B73"/>
  <c r="A21" i="64"/>
  <c r="A28"/>
  <c r="A27"/>
  <c r="A15"/>
  <c r="A14"/>
  <c r="A11"/>
  <c r="A3"/>
  <c r="A45" i="9"/>
  <c r="A44"/>
  <c r="C57" i="10"/>
  <c r="C56"/>
  <c r="C55"/>
  <c r="C54"/>
  <c r="B49" i="63"/>
  <c r="B44"/>
  <c r="B40"/>
  <c r="B30"/>
  <c r="B27"/>
  <c r="B25"/>
  <c r="A11" i="51"/>
  <c r="A26" i="64"/>
  <c r="A26" i="51"/>
  <c r="B19" i="63"/>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c r="B66"/>
  <c r="A4" i="55"/>
  <c r="B57" i="63"/>
  <c r="B41"/>
  <c r="G5" i="54"/>
  <c r="B34" i="63"/>
  <c r="E5" i="54"/>
  <c r="B32" i="63"/>
  <c r="R2" i="54"/>
  <c r="B24" i="63"/>
  <c r="B49" i="50"/>
  <c r="B5" i="63"/>
  <c r="B40" i="50"/>
  <c r="B3" i="63"/>
  <c r="I19" i="46"/>
  <c r="Q12" i="59"/>
  <c r="P12"/>
  <c r="O12"/>
  <c r="N12"/>
  <c r="D73"/>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E51"/>
  <c r="P51"/>
  <c r="C52"/>
  <c r="B52"/>
  <c r="N52"/>
  <c r="F51"/>
  <c r="F50"/>
  <c r="Q50"/>
  <c r="B51"/>
  <c r="Q49"/>
  <c r="D49"/>
  <c r="Q48"/>
  <c r="P48"/>
  <c r="O48"/>
  <c r="N48"/>
  <c r="Q47"/>
  <c r="P47"/>
  <c r="O47"/>
  <c r="N47"/>
  <c r="Q46"/>
  <c r="P46"/>
  <c r="O46"/>
  <c r="N46"/>
  <c r="Q45"/>
  <c r="F46"/>
  <c r="P45"/>
  <c r="E46"/>
  <c r="E47"/>
  <c r="E48"/>
  <c r="U48"/>
  <c r="O45"/>
  <c r="C46"/>
  <c r="N45"/>
  <c r="B46"/>
  <c r="B47"/>
  <c r="B48"/>
  <c r="S48"/>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F35"/>
  <c r="F36"/>
  <c r="V36"/>
  <c r="P33"/>
  <c r="E34"/>
  <c r="O33"/>
  <c r="C34"/>
  <c r="N33"/>
  <c r="B34"/>
  <c r="D33"/>
  <c r="T32"/>
  <c r="Q32"/>
  <c r="P32"/>
  <c r="O32"/>
  <c r="N32"/>
  <c r="D32"/>
  <c r="Q31"/>
  <c r="P31"/>
  <c r="O31"/>
  <c r="N31"/>
  <c r="Q30"/>
  <c r="P30"/>
  <c r="O30"/>
  <c r="N30"/>
  <c r="Q29"/>
  <c r="F30"/>
  <c r="P29"/>
  <c r="E30"/>
  <c r="E31"/>
  <c r="E32"/>
  <c r="U32"/>
  <c r="O29"/>
  <c r="C30"/>
  <c r="N29"/>
  <c r="B30"/>
  <c r="B31"/>
  <c r="B32"/>
  <c r="S32"/>
  <c r="D29"/>
  <c r="Q28"/>
  <c r="P28"/>
  <c r="O28"/>
  <c r="N28"/>
  <c r="Q27"/>
  <c r="P27"/>
  <c r="O27"/>
  <c r="N27"/>
  <c r="Q26"/>
  <c r="P26"/>
  <c r="O26"/>
  <c r="N26"/>
  <c r="Q25"/>
  <c r="F26"/>
  <c r="P25"/>
  <c r="E26"/>
  <c r="E27"/>
  <c r="E28"/>
  <c r="U28"/>
  <c r="O25"/>
  <c r="C26"/>
  <c r="N25"/>
  <c r="B26"/>
  <c r="B27"/>
  <c r="B28"/>
  <c r="S28"/>
  <c r="D25"/>
  <c r="Q24"/>
  <c r="P24"/>
  <c r="O24"/>
  <c r="N24"/>
  <c r="Q23"/>
  <c r="AB23"/>
  <c r="P23"/>
  <c r="O23"/>
  <c r="Y23"/>
  <c r="Z23"/>
  <c r="N23"/>
  <c r="X23"/>
  <c r="Q22"/>
  <c r="P22"/>
  <c r="O22"/>
  <c r="N22"/>
  <c r="Q21"/>
  <c r="F22"/>
  <c r="P21"/>
  <c r="E22"/>
  <c r="E23"/>
  <c r="E24"/>
  <c r="U24"/>
  <c r="O21"/>
  <c r="C22"/>
  <c r="N21"/>
  <c r="B22"/>
  <c r="B23"/>
  <c r="B24"/>
  <c r="S24"/>
  <c r="D21"/>
  <c r="Q20"/>
  <c r="P20"/>
  <c r="O20"/>
  <c r="N20"/>
  <c r="Q19"/>
  <c r="P19"/>
  <c r="O19"/>
  <c r="N19"/>
  <c r="Q18"/>
  <c r="P18"/>
  <c r="O18"/>
  <c r="N18"/>
  <c r="Q17"/>
  <c r="F18"/>
  <c r="P17"/>
  <c r="E18"/>
  <c r="E19"/>
  <c r="E20"/>
  <c r="U20"/>
  <c r="O17"/>
  <c r="C18"/>
  <c r="N17"/>
  <c r="B18"/>
  <c r="B19"/>
  <c r="B20"/>
  <c r="S20"/>
  <c r="D17"/>
  <c r="Q16"/>
  <c r="P16"/>
  <c r="O16"/>
  <c r="N16"/>
  <c r="Q15"/>
  <c r="P15"/>
  <c r="O15"/>
  <c r="N15"/>
  <c r="Q14"/>
  <c r="P14"/>
  <c r="O14"/>
  <c r="N14"/>
  <c r="Q13"/>
  <c r="F14"/>
  <c r="P13"/>
  <c r="O13"/>
  <c r="C14"/>
  <c r="N13"/>
  <c r="B14"/>
  <c r="D13"/>
  <c r="X3"/>
  <c r="X9"/>
  <c r="X10"/>
  <c r="X11"/>
  <c r="X12"/>
  <c r="AA3"/>
  <c r="AA9"/>
  <c r="AA10"/>
  <c r="AA11"/>
  <c r="AA12"/>
  <c r="Y9"/>
  <c r="Z9"/>
  <c r="Y10"/>
  <c r="Z10"/>
  <c r="Y11"/>
  <c r="Z11"/>
  <c r="Y12"/>
  <c r="Z12"/>
  <c r="Y3"/>
  <c r="Z3"/>
  <c r="AB12"/>
  <c r="AB3"/>
  <c r="AB9"/>
  <c r="AB10"/>
  <c r="AB11"/>
  <c r="B15"/>
  <c r="B16"/>
  <c r="S16"/>
  <c r="E14"/>
  <c r="E15"/>
  <c r="E16"/>
  <c r="U16"/>
  <c r="B35"/>
  <c r="B36"/>
  <c r="S36"/>
  <c r="E35"/>
  <c r="E36"/>
  <c r="U36"/>
  <c r="S52"/>
  <c r="Z22"/>
  <c r="AA23"/>
  <c r="F15"/>
  <c r="F16"/>
  <c r="V16"/>
  <c r="F19"/>
  <c r="F20"/>
  <c r="V20"/>
  <c r="F23"/>
  <c r="F24"/>
  <c r="V24"/>
  <c r="F27"/>
  <c r="F28"/>
  <c r="V28"/>
  <c r="F31"/>
  <c r="F32"/>
  <c r="V32"/>
  <c r="F39"/>
  <c r="F40"/>
  <c r="V40"/>
  <c r="F43"/>
  <c r="F44"/>
  <c r="V44"/>
  <c r="F47"/>
  <c r="F48"/>
  <c r="V48"/>
  <c r="C15"/>
  <c r="D14"/>
  <c r="C23"/>
  <c r="D22"/>
  <c r="C27"/>
  <c r="D26"/>
  <c r="C31"/>
  <c r="D31"/>
  <c r="D30"/>
  <c r="C35"/>
  <c r="D34"/>
  <c r="C39"/>
  <c r="D38"/>
  <c r="C43"/>
  <c r="D42"/>
  <c r="C47"/>
  <c r="D46"/>
  <c r="C19"/>
  <c r="D18"/>
  <c r="E50"/>
  <c r="N51"/>
  <c r="B50"/>
  <c r="Q51"/>
  <c r="T52"/>
  <c r="O52"/>
  <c r="D52"/>
  <c r="C51"/>
  <c r="P52"/>
  <c r="U52"/>
  <c r="Q52"/>
  <c r="C55"/>
  <c r="E55"/>
  <c r="E54"/>
  <c r="D56"/>
  <c r="C59"/>
  <c r="E59"/>
  <c r="E58"/>
  <c r="D60"/>
  <c r="C63"/>
  <c r="E63"/>
  <c r="E62"/>
  <c r="D64"/>
  <c r="C67"/>
  <c r="C71"/>
  <c r="U16" i="4"/>
  <c r="S16"/>
  <c r="Q16"/>
  <c r="O16"/>
  <c r="M16"/>
  <c r="L16"/>
  <c r="K16"/>
  <c r="P49" i="59"/>
  <c r="P50"/>
  <c r="D71"/>
  <c r="C70"/>
  <c r="D70"/>
  <c r="D63"/>
  <c r="C62"/>
  <c r="D62"/>
  <c r="D55"/>
  <c r="C54"/>
  <c r="D54"/>
  <c r="C50"/>
  <c r="O51"/>
  <c r="D51"/>
  <c r="D67"/>
  <c r="C66"/>
  <c r="D66"/>
  <c r="D59"/>
  <c r="C58"/>
  <c r="D58"/>
  <c r="N49"/>
  <c r="N50"/>
  <c r="C20"/>
  <c r="D19"/>
  <c r="C48"/>
  <c r="D47"/>
  <c r="D43"/>
  <c r="C44"/>
  <c r="C40"/>
  <c r="D39"/>
  <c r="C36"/>
  <c r="D35"/>
  <c r="C28"/>
  <c r="D27"/>
  <c r="C24"/>
  <c r="D23"/>
  <c r="C16"/>
  <c r="D15"/>
  <c r="N16" i="4"/>
  <c r="T44" i="59"/>
  <c r="D44"/>
  <c r="T16"/>
  <c r="D16"/>
  <c r="T24"/>
  <c r="D24"/>
  <c r="T28"/>
  <c r="D28"/>
  <c r="T36"/>
  <c r="D36"/>
  <c r="T40"/>
  <c r="D40"/>
  <c r="T48"/>
  <c r="D48"/>
  <c r="T20"/>
  <c r="D20"/>
  <c r="O50"/>
  <c r="D50"/>
  <c r="O49"/>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B65"/>
  <c r="S18" i="36"/>
  <c r="S21" i="37"/>
  <c r="S21" i="34"/>
  <c r="S21" i="21"/>
  <c r="S27" i="40"/>
  <c r="C27"/>
  <c r="C31" i="39"/>
  <c r="B54" i="46"/>
  <c r="B74"/>
  <c r="E66" i="36"/>
  <c r="H18" i="35"/>
  <c r="J18"/>
  <c r="H21" i="37"/>
  <c r="J21"/>
  <c r="E84" i="34"/>
  <c r="F84"/>
  <c r="G84"/>
  <c r="J21"/>
  <c r="H21"/>
  <c r="F21" i="33"/>
  <c r="H21"/>
  <c r="J21"/>
  <c r="F83" i="21"/>
  <c r="H21"/>
  <c r="G83"/>
  <c r="J21"/>
  <c r="F96" i="40"/>
  <c r="H27"/>
  <c r="F105" i="39"/>
  <c r="H31"/>
  <c r="F23" i="15"/>
  <c r="D22"/>
  <c r="G17" i="11"/>
  <c r="F15" i="15"/>
  <c r="F17"/>
  <c r="F18"/>
  <c r="F20"/>
  <c r="F21"/>
  <c r="F33"/>
  <c r="F60"/>
  <c r="K2" i="4"/>
  <c r="K1"/>
  <c r="B1"/>
  <c r="B37" i="50"/>
  <c r="B2" i="63"/>
  <c r="C31" i="57"/>
  <c r="C32"/>
  <c r="I23"/>
  <c r="D20"/>
  <c r="I19"/>
  <c r="I18"/>
  <c r="I17"/>
  <c r="I20"/>
  <c r="E15"/>
  <c r="I14"/>
  <c r="I13"/>
  <c r="I12"/>
  <c r="I15"/>
  <c r="I9"/>
  <c r="I8"/>
  <c r="I7"/>
  <c r="I6"/>
  <c r="I5"/>
  <c r="I4"/>
  <c r="I3"/>
  <c r="I10"/>
  <c r="I21"/>
  <c r="D1"/>
  <c r="E10"/>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c r="K54"/>
  <c r="M53"/>
  <c r="N53"/>
  <c r="K53"/>
  <c r="J53"/>
  <c r="D53"/>
  <c r="M52"/>
  <c r="N52"/>
  <c r="K52"/>
  <c r="J52"/>
  <c r="D52"/>
  <c r="M51"/>
  <c r="N51"/>
  <c r="K51"/>
  <c r="M50"/>
  <c r="N50"/>
  <c r="M49"/>
  <c r="N49"/>
  <c r="K49"/>
  <c r="J49"/>
  <c r="D49"/>
  <c r="M48"/>
  <c r="N48"/>
  <c r="K48"/>
  <c r="J48"/>
  <c r="D48"/>
  <c r="M47"/>
  <c r="N47"/>
  <c r="K47"/>
  <c r="J47"/>
  <c r="D47"/>
  <c r="J51"/>
  <c r="D51"/>
  <c r="J55"/>
  <c r="D55"/>
  <c r="N86"/>
  <c r="D80"/>
  <c r="D81"/>
  <c r="N73"/>
  <c r="D75"/>
  <c r="J66"/>
  <c r="D66"/>
  <c r="J50"/>
  <c r="D50"/>
  <c r="J54"/>
  <c r="D54"/>
  <c r="Q73" i="15"/>
  <c r="Q60"/>
  <c r="Q59"/>
  <c r="Q52"/>
  <c r="AE10"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8"/>
  <c r="F10"/>
  <c r="AP10"/>
  <c r="D10"/>
  <c r="A12"/>
  <c r="R12"/>
  <c r="A13"/>
  <c r="B13"/>
  <c r="E13"/>
  <c r="A10"/>
  <c r="R10"/>
  <c r="A11"/>
  <c r="T4"/>
  <c r="K12"/>
  <c r="M12"/>
  <c r="K13"/>
  <c r="M13"/>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K51"/>
  <c r="BJ51"/>
  <c r="BI51"/>
  <c r="BH51"/>
  <c r="BG51"/>
  <c r="BF51"/>
  <c r="BE51"/>
  <c r="BD51"/>
  <c r="BC51"/>
  <c r="BB51"/>
  <c r="BA51"/>
  <c r="AX51"/>
  <c r="AW51"/>
  <c r="AV51"/>
  <c r="H51"/>
  <c r="BK50"/>
  <c r="BJ50"/>
  <c r="BI50"/>
  <c r="BH50"/>
  <c r="BG50"/>
  <c r="BF50"/>
  <c r="BE50"/>
  <c r="BD50"/>
  <c r="BC50"/>
  <c r="BB50"/>
  <c r="BA50"/>
  <c r="AX50"/>
  <c r="AW50"/>
  <c r="AV50"/>
  <c r="H50"/>
  <c r="BK49"/>
  <c r="BJ49"/>
  <c r="BI49"/>
  <c r="BH49"/>
  <c r="BG49"/>
  <c r="BF49"/>
  <c r="BE49"/>
  <c r="BD49"/>
  <c r="BC49"/>
  <c r="BB49"/>
  <c r="BA49"/>
  <c r="AX49"/>
  <c r="AW49"/>
  <c r="AV49"/>
  <c r="H49"/>
  <c r="BK48"/>
  <c r="BJ48"/>
  <c r="BI48"/>
  <c r="BH48"/>
  <c r="BG48"/>
  <c r="BF48"/>
  <c r="BE48"/>
  <c r="BD48"/>
  <c r="BC48"/>
  <c r="BB48"/>
  <c r="BA48"/>
  <c r="AX48"/>
  <c r="AW48"/>
  <c r="AV48"/>
  <c r="H48"/>
  <c r="BK47"/>
  <c r="BJ47"/>
  <c r="BI47"/>
  <c r="BH47"/>
  <c r="BG47"/>
  <c r="BF47"/>
  <c r="BE47"/>
  <c r="BD47"/>
  <c r="BC47"/>
  <c r="BB47"/>
  <c r="BA47"/>
  <c r="AX47"/>
  <c r="AW47"/>
  <c r="AV47"/>
  <c r="H47"/>
  <c r="BK46"/>
  <c r="BJ46"/>
  <c r="BI46"/>
  <c r="BH46"/>
  <c r="BG46"/>
  <c r="BF46"/>
  <c r="BE46"/>
  <c r="BD46"/>
  <c r="BC46"/>
  <c r="BB46"/>
  <c r="BA46"/>
  <c r="AX46"/>
  <c r="AW46"/>
  <c r="AV46"/>
  <c r="H46"/>
  <c r="BK45"/>
  <c r="BJ45"/>
  <c r="BI45"/>
  <c r="BH45"/>
  <c r="BG45"/>
  <c r="BF45"/>
  <c r="BE45"/>
  <c r="BD45"/>
  <c r="BC45"/>
  <c r="BB45"/>
  <c r="BA45"/>
  <c r="AX45"/>
  <c r="AW45"/>
  <c r="AV45"/>
  <c r="H45"/>
  <c r="BK44"/>
  <c r="BJ44"/>
  <c r="BI44"/>
  <c r="BH44"/>
  <c r="BG44"/>
  <c r="BF44"/>
  <c r="BE44"/>
  <c r="BD44"/>
  <c r="BC44"/>
  <c r="BB44"/>
  <c r="BA44"/>
  <c r="AX44"/>
  <c r="AW44"/>
  <c r="AV44"/>
  <c r="H44"/>
  <c r="BK43"/>
  <c r="BJ43"/>
  <c r="BI43"/>
  <c r="BH43"/>
  <c r="BG43"/>
  <c r="BF43"/>
  <c r="BE43"/>
  <c r="BD43"/>
  <c r="BC43"/>
  <c r="BB43"/>
  <c r="BA43"/>
  <c r="AX43"/>
  <c r="AW43"/>
  <c r="AV43"/>
  <c r="H43"/>
  <c r="BK42"/>
  <c r="BJ42"/>
  <c r="BI42"/>
  <c r="BH42"/>
  <c r="BG42"/>
  <c r="BF42"/>
  <c r="BE42"/>
  <c r="BD42"/>
  <c r="BC42"/>
  <c r="BB42"/>
  <c r="BA42"/>
  <c r="AX42"/>
  <c r="AW42"/>
  <c r="AV42"/>
  <c r="H42"/>
  <c r="BK41"/>
  <c r="BJ41"/>
  <c r="BI41"/>
  <c r="BH41"/>
  <c r="BG41"/>
  <c r="BF41"/>
  <c r="BE41"/>
  <c r="BD41"/>
  <c r="BC41"/>
  <c r="BB41"/>
  <c r="BA41"/>
  <c r="AX41"/>
  <c r="AW41"/>
  <c r="AV41"/>
  <c r="H41"/>
  <c r="BK40"/>
  <c r="BJ40"/>
  <c r="BI40"/>
  <c r="BH40"/>
  <c r="BG40"/>
  <c r="BF40"/>
  <c r="BE40"/>
  <c r="BD40"/>
  <c r="BC40"/>
  <c r="BB40"/>
  <c r="BA40"/>
  <c r="AX40"/>
  <c r="AW40"/>
  <c r="AV40"/>
  <c r="H40"/>
  <c r="BK39"/>
  <c r="BJ39"/>
  <c r="BI39"/>
  <c r="BH39"/>
  <c r="BG39"/>
  <c r="BF39"/>
  <c r="BE39"/>
  <c r="BD39"/>
  <c r="BC39"/>
  <c r="BB39"/>
  <c r="BA39"/>
  <c r="AX39"/>
  <c r="AW39"/>
  <c r="AV39"/>
  <c r="H39"/>
  <c r="BK38"/>
  <c r="BJ38"/>
  <c r="BI38"/>
  <c r="BH38"/>
  <c r="BG38"/>
  <c r="BF38"/>
  <c r="BE38"/>
  <c r="BD38"/>
  <c r="BC38"/>
  <c r="BB38"/>
  <c r="BA38"/>
  <c r="AX38"/>
  <c r="AW38"/>
  <c r="AV38"/>
  <c r="H38"/>
  <c r="BK37"/>
  <c r="BJ37"/>
  <c r="BI37"/>
  <c r="BH37"/>
  <c r="BG37"/>
  <c r="BF37"/>
  <c r="BE37"/>
  <c r="BD37"/>
  <c r="BC37"/>
  <c r="BB37"/>
  <c r="BA37"/>
  <c r="AX37"/>
  <c r="AW37"/>
  <c r="AV37"/>
  <c r="H37"/>
  <c r="BK36"/>
  <c r="BJ36"/>
  <c r="BI36"/>
  <c r="BH36"/>
  <c r="BG36"/>
  <c r="BF36"/>
  <c r="BE36"/>
  <c r="BD36"/>
  <c r="BC36"/>
  <c r="BB36"/>
  <c r="BA36"/>
  <c r="AX36"/>
  <c r="AW36"/>
  <c r="AV36"/>
  <c r="H36"/>
  <c r="BK35"/>
  <c r="BJ35"/>
  <c r="BI35"/>
  <c r="BH35"/>
  <c r="BG35"/>
  <c r="BF35"/>
  <c r="BE35"/>
  <c r="BD35"/>
  <c r="BC35"/>
  <c r="BB35"/>
  <c r="BA35"/>
  <c r="AX35"/>
  <c r="AW35"/>
  <c r="AV35"/>
  <c r="H35"/>
  <c r="BK34"/>
  <c r="BJ34"/>
  <c r="BI34"/>
  <c r="BH34"/>
  <c r="BG34"/>
  <c r="BF34"/>
  <c r="BE34"/>
  <c r="BD34"/>
  <c r="BC34"/>
  <c r="BB34"/>
  <c r="BA34"/>
  <c r="AX34"/>
  <c r="AW34"/>
  <c r="AV34"/>
  <c r="H34"/>
  <c r="BK33"/>
  <c r="BJ33"/>
  <c r="BI33"/>
  <c r="BH33"/>
  <c r="BG33"/>
  <c r="BF33"/>
  <c r="BE33"/>
  <c r="BD33"/>
  <c r="BC33"/>
  <c r="BB33"/>
  <c r="BA33"/>
  <c r="AX33"/>
  <c r="AW33"/>
  <c r="AV33"/>
  <c r="H33"/>
  <c r="BK32"/>
  <c r="BJ32"/>
  <c r="BI32"/>
  <c r="BH32"/>
  <c r="BG32"/>
  <c r="BF32"/>
  <c r="BE32"/>
  <c r="BD32"/>
  <c r="BC32"/>
  <c r="BB32"/>
  <c r="BA32"/>
  <c r="AX32"/>
  <c r="AW32"/>
  <c r="AV32"/>
  <c r="H32"/>
  <c r="BK31"/>
  <c r="BJ31"/>
  <c r="BI31"/>
  <c r="BH31"/>
  <c r="BG31"/>
  <c r="BF31"/>
  <c r="BE31"/>
  <c r="BD31"/>
  <c r="BC31"/>
  <c r="BB31"/>
  <c r="BA31"/>
  <c r="AX31"/>
  <c r="AW31"/>
  <c r="AV31"/>
  <c r="H31"/>
  <c r="BK30"/>
  <c r="BJ30"/>
  <c r="BI30"/>
  <c r="BH30"/>
  <c r="BG30"/>
  <c r="BF30"/>
  <c r="BE30"/>
  <c r="BD30"/>
  <c r="BC30"/>
  <c r="BB30"/>
  <c r="BA30"/>
  <c r="AX30"/>
  <c r="AW30"/>
  <c r="AV30"/>
  <c r="H30"/>
  <c r="BK29"/>
  <c r="BJ29"/>
  <c r="BI29"/>
  <c r="BH29"/>
  <c r="BG29"/>
  <c r="BF29"/>
  <c r="BE29"/>
  <c r="BD29"/>
  <c r="BC29"/>
  <c r="BB29"/>
  <c r="BA29"/>
  <c r="AX29"/>
  <c r="AW29"/>
  <c r="AV29"/>
  <c r="H29"/>
  <c r="BK28"/>
  <c r="BJ28"/>
  <c r="BI28"/>
  <c r="BH28"/>
  <c r="BG28"/>
  <c r="BF28"/>
  <c r="BD28"/>
  <c r="BC28"/>
  <c r="BB28"/>
  <c r="AX28"/>
  <c r="AW28"/>
  <c r="AV28"/>
  <c r="BK27"/>
  <c r="BJ27"/>
  <c r="BI27"/>
  <c r="BH27"/>
  <c r="BG27"/>
  <c r="BF27"/>
  <c r="BD27"/>
  <c r="BC27"/>
  <c r="BB27"/>
  <c r="AX27"/>
  <c r="AW27"/>
  <c r="AV27"/>
  <c r="BK26"/>
  <c r="BJ26"/>
  <c r="BI26"/>
  <c r="BH26"/>
  <c r="BG26"/>
  <c r="BF26"/>
  <c r="BD26"/>
  <c r="BC26"/>
  <c r="BB26"/>
  <c r="AX26"/>
  <c r="AW26"/>
  <c r="AV26"/>
  <c r="BK25"/>
  <c r="BJ25"/>
  <c r="BI25"/>
  <c r="BH25"/>
  <c r="BG25"/>
  <c r="BF25"/>
  <c r="BD25"/>
  <c r="BC25"/>
  <c r="BB25"/>
  <c r="AX25"/>
  <c r="AW25"/>
  <c r="AV25"/>
  <c r="BK24"/>
  <c r="BJ24"/>
  <c r="BI24"/>
  <c r="BH24"/>
  <c r="BG24"/>
  <c r="BF24"/>
  <c r="BD24"/>
  <c r="BC24"/>
  <c r="BB24"/>
  <c r="AX24"/>
  <c r="AW24"/>
  <c r="AV24"/>
  <c r="BK23"/>
  <c r="BJ23"/>
  <c r="BI23"/>
  <c r="BH23"/>
  <c r="BG23"/>
  <c r="BF23"/>
  <c r="BD23"/>
  <c r="BC23"/>
  <c r="BB23"/>
  <c r="AX23"/>
  <c r="AW23"/>
  <c r="AV23"/>
  <c r="BK22"/>
  <c r="BJ22"/>
  <c r="BI22"/>
  <c r="BH22"/>
  <c r="BG22"/>
  <c r="BF22"/>
  <c r="BE22"/>
  <c r="BD22"/>
  <c r="BC22"/>
  <c r="BB22"/>
  <c r="BA22"/>
  <c r="AX22"/>
  <c r="AW22"/>
  <c r="AV22"/>
  <c r="H22"/>
  <c r="BK21"/>
  <c r="BJ21"/>
  <c r="BI21"/>
  <c r="BH21"/>
  <c r="BG21"/>
  <c r="BF21"/>
  <c r="BE21"/>
  <c r="BD21"/>
  <c r="BC21"/>
  <c r="BB21"/>
  <c r="AX21"/>
  <c r="AW21"/>
  <c r="AV21"/>
  <c r="H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X7" i="46"/>
  <c r="G19"/>
  <c r="M20"/>
  <c r="C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c r="A2" i="9"/>
  <c r="T16" i="4"/>
  <c r="D14"/>
  <c r="M4" i="9"/>
  <c r="L4"/>
  <c r="A30" i="64"/>
  <c r="G36" i="4"/>
  <c r="K2" i="54"/>
  <c r="B23" i="63"/>
  <c r="A3" i="51"/>
  <c r="R41" i="4"/>
  <c r="Q41"/>
  <c r="P41"/>
  <c r="O41"/>
  <c r="N41"/>
  <c r="M41"/>
  <c r="L41"/>
  <c r="K40"/>
  <c r="T40"/>
  <c r="F23"/>
  <c r="D19"/>
  <c r="I19"/>
  <c r="H19"/>
  <c r="G19"/>
  <c r="F9" i="1"/>
  <c r="F19" i="4"/>
  <c r="F8" i="1"/>
  <c r="E19" i="4"/>
  <c r="B2" i="52"/>
  <c r="E22"/>
  <c r="N12" i="46"/>
  <c r="A7"/>
  <c r="F41" i="4"/>
  <c r="J52" i="40"/>
  <c r="H61" i="49"/>
  <c r="H39" i="46"/>
  <c r="H38"/>
  <c r="H37"/>
  <c r="H36"/>
  <c r="H35"/>
  <c r="H34"/>
  <c r="H33"/>
  <c r="E20"/>
  <c r="M17"/>
  <c r="O17"/>
  <c r="G20"/>
  <c r="J20"/>
  <c r="C18"/>
  <c r="F15"/>
  <c r="E15"/>
  <c r="D15"/>
  <c r="C15"/>
  <c r="C10"/>
  <c r="C11"/>
  <c r="C9"/>
  <c r="E19" i="6"/>
  <c r="E32"/>
  <c r="E21"/>
  <c r="K8" i="1"/>
  <c r="M8"/>
  <c r="E22" i="6"/>
  <c r="E23"/>
  <c r="E24"/>
  <c r="E25"/>
  <c r="E26"/>
  <c r="D38" i="4"/>
  <c r="C39"/>
  <c r="C35"/>
  <c r="E16" i="12"/>
  <c r="F14"/>
  <c r="F15"/>
  <c r="F17"/>
  <c r="E19"/>
  <c r="E21"/>
  <c r="E22"/>
  <c r="F23"/>
  <c r="F24"/>
  <c r="F25"/>
  <c r="I73" i="9"/>
  <c r="F73"/>
  <c r="P73"/>
  <c r="D107"/>
  <c r="C107"/>
  <c r="C105"/>
  <c r="C110"/>
  <c r="C17"/>
  <c r="D17"/>
  <c r="C18"/>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H10"/>
  <c r="AB10"/>
  <c r="H11"/>
  <c r="AB11"/>
  <c r="H36"/>
  <c r="AB36"/>
  <c r="H40"/>
  <c r="AB40"/>
  <c r="J10"/>
  <c r="AC10"/>
  <c r="J11"/>
  <c r="AC11"/>
  <c r="J36"/>
  <c r="AC36"/>
  <c r="J40"/>
  <c r="AC40"/>
  <c r="F35" i="44"/>
  <c r="M21"/>
  <c r="F20"/>
  <c r="C6" i="43"/>
  <c r="K9"/>
  <c r="J9"/>
  <c r="I9"/>
  <c r="H9"/>
  <c r="G9"/>
  <c r="F9"/>
  <c r="E9"/>
  <c r="D9"/>
  <c r="C9"/>
  <c r="BC13" i="3"/>
  <c r="BB13"/>
  <c r="B24" i="1"/>
  <c r="E77" i="9"/>
  <c r="O75"/>
  <c r="L75"/>
  <c r="F77"/>
  <c r="P75"/>
  <c r="O74"/>
  <c r="O73"/>
  <c r="E66"/>
  <c r="O72"/>
  <c r="F74"/>
  <c r="P74"/>
  <c r="N67"/>
  <c r="K44"/>
  <c r="K43"/>
  <c r="B31" i="1"/>
  <c r="E10" i="11"/>
  <c r="B22" i="1"/>
  <c r="C2" i="65"/>
  <c r="B23" i="1"/>
  <c r="BD17" i="3"/>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30" i="40"/>
  <c r="G13" i="1"/>
  <c r="G12"/>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H15"/>
  <c r="H16"/>
  <c r="H17"/>
  <c r="H18"/>
  <c r="BB18"/>
  <c r="BC18"/>
  <c r="BD18"/>
  <c r="BE18"/>
  <c r="BF18"/>
  <c r="BG18"/>
  <c r="BH18"/>
  <c r="BI18"/>
  <c r="BJ18"/>
  <c r="BK18"/>
  <c r="H19"/>
  <c r="BB19"/>
  <c r="BC19"/>
  <c r="BD19"/>
  <c r="BE19"/>
  <c r="BF19"/>
  <c r="BG19"/>
  <c r="BH19"/>
  <c r="BI19"/>
  <c r="BJ19"/>
  <c r="BK19"/>
  <c r="H20"/>
  <c r="BB20"/>
  <c r="BC20"/>
  <c r="BD20"/>
  <c r="BE20"/>
  <c r="BF20"/>
  <c r="BG20"/>
  <c r="BH20"/>
  <c r="BI20"/>
  <c r="BJ20"/>
  <c r="BK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AA31"/>
  <c r="D87"/>
  <c r="E87"/>
  <c r="F87"/>
  <c r="G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D122"/>
  <c r="E122"/>
  <c r="F122"/>
  <c r="G122"/>
  <c r="H122"/>
  <c r="I122"/>
  <c r="J122"/>
  <c r="K122"/>
  <c r="L122"/>
  <c r="M122"/>
  <c r="B116"/>
  <c r="D111"/>
  <c r="E111"/>
  <c r="F111"/>
  <c r="G111"/>
  <c r="H111"/>
  <c r="I111"/>
  <c r="J111"/>
  <c r="K111"/>
  <c r="L111"/>
  <c r="M111"/>
  <c r="D109"/>
  <c r="E109"/>
  <c r="F109"/>
  <c r="G109"/>
  <c r="D107"/>
  <c r="E107"/>
  <c r="F107"/>
  <c r="G107"/>
  <c r="H107"/>
  <c r="I107"/>
  <c r="J107"/>
  <c r="K107"/>
  <c r="L107"/>
  <c r="M107"/>
  <c r="D103"/>
  <c r="D101"/>
  <c r="E101"/>
  <c r="Q41"/>
  <c r="Z41"/>
  <c r="Q42"/>
  <c r="Z42"/>
  <c r="Q43"/>
  <c r="Q44"/>
  <c r="Z44"/>
  <c r="Q45"/>
  <c r="Z45"/>
  <c r="Q46"/>
  <c r="Z46"/>
  <c r="Q47"/>
  <c r="Z47"/>
  <c r="Q40"/>
  <c r="Z40"/>
  <c r="Q38"/>
  <c r="Z38"/>
  <c r="Q39"/>
  <c r="Z39"/>
  <c r="Z43"/>
  <c r="M118"/>
  <c r="L118"/>
  <c r="K118"/>
  <c r="J118"/>
  <c r="I118"/>
  <c r="H118"/>
  <c r="G118"/>
  <c r="F118"/>
  <c r="E118"/>
  <c r="D118"/>
  <c r="C118"/>
  <c r="B133"/>
  <c r="B131"/>
  <c r="B129"/>
  <c r="D128"/>
  <c r="D124"/>
  <c r="H42"/>
  <c r="B106"/>
  <c r="D99"/>
  <c r="E99"/>
  <c r="D97"/>
  <c r="D95"/>
  <c r="E95"/>
  <c r="F95"/>
  <c r="G95"/>
  <c r="D93"/>
  <c r="E93"/>
  <c r="D91"/>
  <c r="E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D80"/>
  <c r="D72"/>
  <c r="D70"/>
  <c r="E70"/>
  <c r="D66"/>
  <c r="E66"/>
  <c r="D64"/>
  <c r="E64"/>
  <c r="F64"/>
  <c r="G64"/>
  <c r="F56"/>
  <c r="G56"/>
  <c r="H56"/>
  <c r="I56"/>
  <c r="C53"/>
  <c r="H9"/>
  <c r="P39"/>
  <c r="P38"/>
  <c r="V37"/>
  <c r="T37"/>
  <c r="R37"/>
  <c r="P37"/>
  <c r="Q36"/>
  <c r="Z36"/>
  <c r="J36"/>
  <c r="AC36"/>
  <c r="Q35"/>
  <c r="Z35"/>
  <c r="Q34"/>
  <c r="Z34"/>
  <c r="J34"/>
  <c r="AC34"/>
  <c r="H34"/>
  <c r="AB34"/>
  <c r="F34"/>
  <c r="AA34"/>
  <c r="Q33"/>
  <c r="Z33"/>
  <c r="Q32"/>
  <c r="Z32"/>
  <c r="H32"/>
  <c r="AB32"/>
  <c r="F32"/>
  <c r="AA32"/>
  <c r="Q31"/>
  <c r="Z31"/>
  <c r="AC31"/>
  <c r="AB31"/>
  <c r="Q30"/>
  <c r="Z30"/>
  <c r="Q29"/>
  <c r="Z29"/>
  <c r="Q28"/>
  <c r="Z28"/>
  <c r="Q27"/>
  <c r="Z27"/>
  <c r="Q26"/>
  <c r="Z26"/>
  <c r="Q25"/>
  <c r="Z25"/>
  <c r="Q24"/>
  <c r="Z24"/>
  <c r="Q23"/>
  <c r="Z23"/>
  <c r="J23"/>
  <c r="AC23"/>
  <c r="Q22"/>
  <c r="Z22"/>
  <c r="Q20"/>
  <c r="Z20"/>
  <c r="Q16"/>
  <c r="Z16"/>
  <c r="Q14"/>
  <c r="Z14"/>
  <c r="Q13"/>
  <c r="Z13"/>
  <c r="Q12"/>
  <c r="Z12"/>
  <c r="J12"/>
  <c r="W12"/>
  <c r="F12"/>
  <c r="AA12"/>
  <c r="Q11"/>
  <c r="Z11"/>
  <c r="Q10"/>
  <c r="Z10"/>
  <c r="Q9"/>
  <c r="Z9"/>
  <c r="J9"/>
  <c r="W9"/>
  <c r="J8"/>
  <c r="W8"/>
  <c r="H8"/>
  <c r="F8"/>
  <c r="AA8"/>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M102" i="21"/>
  <c r="D102"/>
  <c r="E102"/>
  <c r="F102"/>
  <c r="G102"/>
  <c r="H102"/>
  <c r="I102"/>
  <c r="J102"/>
  <c r="K102"/>
  <c r="L102"/>
  <c r="C102"/>
  <c r="C63"/>
  <c r="F9"/>
  <c r="S9"/>
  <c r="G18" i="20"/>
  <c r="B87" i="46"/>
  <c r="C25" i="40"/>
  <c r="G16" i="20"/>
  <c r="B81" i="46"/>
  <c r="G15" i="20"/>
  <c r="B80" i="46"/>
  <c r="C24" i="20"/>
  <c r="B72" i="46"/>
  <c r="C21" i="20"/>
  <c r="B73" i="46"/>
  <c r="B76"/>
  <c r="B70"/>
  <c r="B58"/>
  <c r="B47"/>
  <c r="B69"/>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C10"/>
  <c r="BB12" i="3"/>
  <c r="F9" i="12"/>
  <c r="E9"/>
  <c r="G9"/>
  <c r="K5" i="3"/>
  <c r="J5"/>
  <c r="BE10"/>
  <c r="BD13"/>
  <c r="BE13"/>
  <c r="BF13"/>
  <c r="BF5"/>
  <c r="BG13"/>
  <c r="BG5"/>
  <c r="BH13"/>
  <c r="BI13"/>
  <c r="BI5"/>
  <c r="BJ13"/>
  <c r="BK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c r="BB11"/>
  <c r="BB10"/>
  <c r="AD5"/>
  <c r="AE5"/>
  <c r="AF5"/>
  <c r="AG5"/>
  <c r="AI5"/>
  <c r="AJ5"/>
  <c r="AK5"/>
  <c r="AM5"/>
  <c r="AN5"/>
  <c r="AO5"/>
  <c r="AP5"/>
  <c r="AQ5"/>
  <c r="AR5"/>
  <c r="AS5"/>
  <c r="AT5"/>
  <c r="I5"/>
  <c r="L5"/>
  <c r="M5"/>
  <c r="N5"/>
  <c r="C43" i="9"/>
  <c r="K47"/>
  <c r="A14" i="55"/>
  <c r="B65" i="63"/>
  <c r="P5" i="3"/>
  <c r="Q5"/>
  <c r="G20" i="6"/>
  <c r="E59" i="39"/>
  <c r="R5" i="3"/>
  <c r="S5"/>
  <c r="T5"/>
  <c r="U5"/>
  <c r="V5"/>
  <c r="W5"/>
  <c r="X5"/>
  <c r="Y5"/>
  <c r="Z5"/>
  <c r="AA5"/>
  <c r="AB5"/>
  <c r="H570"/>
  <c r="G570"/>
  <c r="H571"/>
  <c r="H572"/>
  <c r="F5"/>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W31"/>
  <c r="U34"/>
  <c r="F36" i="34"/>
  <c r="S36"/>
  <c r="W9"/>
  <c r="S34"/>
  <c r="W39"/>
  <c r="H39" i="33"/>
  <c r="AB39"/>
  <c r="F26"/>
  <c r="AA26"/>
  <c r="U9"/>
  <c r="U33"/>
  <c r="W38"/>
  <c r="S40"/>
  <c r="S33"/>
  <c r="W33"/>
  <c r="U38"/>
  <c r="S8" i="21"/>
  <c r="W8"/>
  <c r="H39" i="37"/>
  <c r="AB39"/>
  <c r="S10" i="40"/>
  <c r="W10"/>
  <c r="S11"/>
  <c r="U11"/>
  <c r="S36"/>
  <c r="U36"/>
  <c r="S40" i="39"/>
  <c r="S36"/>
  <c r="F11" i="21"/>
  <c r="S11"/>
  <c r="AC40"/>
  <c r="AA38"/>
  <c r="AB36"/>
  <c r="AC35"/>
  <c r="C29" i="39"/>
  <c r="C23"/>
  <c r="U36"/>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33" i="35"/>
  <c r="AB33"/>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AL5" i="3"/>
  <c r="BL572"/>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AB13" i="35"/>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9" i="3"/>
  <c r="G521"/>
  <c r="G517"/>
  <c r="G513"/>
  <c r="G508"/>
  <c r="G499"/>
  <c r="G493"/>
  <c r="G485"/>
  <c r="G565"/>
  <c r="G561"/>
  <c r="G557"/>
  <c r="G549"/>
  <c r="G545"/>
  <c r="G539"/>
  <c r="BL569"/>
  <c r="AZ569"/>
  <c r="BL561"/>
  <c r="BL557"/>
  <c r="BL553"/>
  <c r="BL545"/>
  <c r="BL535"/>
  <c r="BL527"/>
  <c r="BL519"/>
  <c r="BL511"/>
  <c r="BL501"/>
  <c r="BL491"/>
  <c r="BL483"/>
  <c r="BL563"/>
  <c r="BL559"/>
  <c r="AZ559"/>
  <c r="BL555"/>
  <c r="BL551"/>
  <c r="BL541"/>
  <c r="BL533"/>
  <c r="BL525"/>
  <c r="G518"/>
  <c r="G514"/>
  <c r="G510"/>
  <c r="BL503"/>
  <c r="BL495"/>
  <c r="BL485"/>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BQ492"/>
  <c r="BL492"/>
  <c r="BQ490"/>
  <c r="BQ488"/>
  <c r="BL488"/>
  <c r="BQ486"/>
  <c r="BQ484"/>
  <c r="BL484"/>
  <c r="BQ482"/>
  <c r="BL482"/>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AZ558" i="3"/>
  <c r="AZ540"/>
  <c r="AZ560"/>
  <c r="G483"/>
  <c r="G515"/>
  <c r="G507"/>
  <c r="G501"/>
  <c r="BA15"/>
  <c r="BA14"/>
  <c r="J57" i="39"/>
  <c r="H13" i="40"/>
  <c r="U13"/>
  <c r="H12" i="48"/>
  <c r="I4" i="4"/>
  <c r="K141" i="21"/>
  <c r="K143"/>
  <c r="K144"/>
  <c r="I59" i="40"/>
  <c r="C59"/>
  <c r="I60"/>
  <c r="C60"/>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F33"/>
  <c r="F35"/>
  <c r="F37"/>
  <c r="H16" i="48"/>
  <c r="H9"/>
  <c r="H8"/>
  <c r="C12" i="46"/>
  <c r="AB15" i="37"/>
  <c r="AA43" i="21"/>
  <c r="U43"/>
  <c r="AA13" i="40"/>
  <c r="E78"/>
  <c r="F78"/>
  <c r="G78"/>
  <c r="H78"/>
  <c r="I78"/>
  <c r="J78"/>
  <c r="K78"/>
  <c r="L78"/>
  <c r="M78"/>
  <c r="BH5" i="3"/>
  <c r="R16" i="4"/>
  <c r="P16"/>
  <c r="G4"/>
  <c r="S37" i="34"/>
  <c r="U42" i="21"/>
  <c r="AC26" i="36"/>
  <c r="W25" i="35"/>
  <c r="AZ300" i="3"/>
  <c r="AZ354"/>
  <c r="AZ322"/>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c r="AB36"/>
  <c r="J40"/>
  <c r="W40"/>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AC5" i="3"/>
  <c r="F17" i="21"/>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99"/>
  <c r="AC27"/>
  <c r="U25" i="35"/>
  <c r="S45" i="34"/>
  <c r="U31"/>
  <c r="AC40" i="37"/>
  <c r="W40"/>
  <c r="W27" i="33"/>
  <c r="AC45" i="21"/>
  <c r="S28" i="33"/>
  <c r="S14" i="21"/>
  <c r="AA44" i="34"/>
  <c r="AC19" i="33"/>
  <c r="W19"/>
  <c r="U43" i="34"/>
  <c r="AB43"/>
  <c r="AC34" i="37"/>
  <c r="S35"/>
  <c r="AA35"/>
  <c r="AA32" i="21"/>
  <c r="S32"/>
  <c r="U38"/>
  <c r="AB34"/>
  <c r="BL571" i="3"/>
  <c r="BA571"/>
  <c r="AZ571"/>
  <c r="BL570"/>
  <c r="AZ570"/>
  <c r="F42" i="21"/>
  <c r="AA42"/>
  <c r="AB40" i="33"/>
  <c r="U40"/>
  <c r="AA35" i="34"/>
  <c r="S35"/>
  <c r="E90"/>
  <c r="H27"/>
  <c r="AB27"/>
  <c r="AB8" i="35"/>
  <c r="U8"/>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AB21"/>
  <c r="J21"/>
  <c r="W21"/>
  <c r="F33"/>
  <c r="S33"/>
  <c r="H33"/>
  <c r="U33"/>
  <c r="J33"/>
  <c r="AC33"/>
  <c r="F44"/>
  <c r="S44"/>
  <c r="H44"/>
  <c r="U44"/>
  <c r="J44"/>
  <c r="W44"/>
  <c r="E128"/>
  <c r="F128"/>
  <c r="G128"/>
  <c r="H128"/>
  <c r="I128"/>
  <c r="J128"/>
  <c r="K128"/>
  <c r="L128"/>
  <c r="M128"/>
  <c r="F46"/>
  <c r="S46"/>
  <c r="H46"/>
  <c r="U46"/>
  <c r="J46"/>
  <c r="W46"/>
  <c r="E103"/>
  <c r="F29"/>
  <c r="AA29"/>
  <c r="F103"/>
  <c r="G103"/>
  <c r="H29"/>
  <c r="U29"/>
  <c r="F39"/>
  <c r="H39"/>
  <c r="AB39"/>
  <c r="J39"/>
  <c r="W30" i="36"/>
  <c r="AC30"/>
  <c r="F37" i="39"/>
  <c r="S37"/>
  <c r="H37"/>
  <c r="U37"/>
  <c r="J37"/>
  <c r="W37"/>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A18"/>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E72" i="35"/>
  <c r="F72"/>
  <c r="G72"/>
  <c r="H22"/>
  <c r="AB22"/>
  <c r="H23"/>
  <c r="F23"/>
  <c r="AA23"/>
  <c r="AB36"/>
  <c r="U36"/>
  <c r="W12" i="36"/>
  <c r="AC12"/>
  <c r="U31"/>
  <c r="S8" i="37"/>
  <c r="AA8"/>
  <c r="F14" i="39"/>
  <c r="AA14"/>
  <c r="H14"/>
  <c r="AB14"/>
  <c r="J14"/>
  <c r="AC14"/>
  <c r="F16"/>
  <c r="AA16"/>
  <c r="H16"/>
  <c r="U16"/>
  <c r="J16"/>
  <c r="AC16"/>
  <c r="F23"/>
  <c r="AA23"/>
  <c r="E97"/>
  <c r="F15" i="40"/>
  <c r="AA15"/>
  <c r="J15"/>
  <c r="H15"/>
  <c r="AB15"/>
  <c r="E92"/>
  <c r="F92"/>
  <c r="H23"/>
  <c r="U23"/>
  <c r="H41"/>
  <c r="AB41"/>
  <c r="F41"/>
  <c r="AA41"/>
  <c r="J41"/>
  <c r="H36" i="33"/>
  <c r="AB36"/>
  <c r="H37" i="34"/>
  <c r="F15" i="39"/>
  <c r="AA15"/>
  <c r="H15"/>
  <c r="U15"/>
  <c r="J15"/>
  <c r="AC15"/>
  <c r="J25"/>
  <c r="AC25"/>
  <c r="F25"/>
  <c r="AA25"/>
  <c r="F45"/>
  <c r="AA45"/>
  <c r="H45"/>
  <c r="U45"/>
  <c r="J45"/>
  <c r="AC45"/>
  <c r="F47"/>
  <c r="AA47"/>
  <c r="H47"/>
  <c r="AB47"/>
  <c r="J47"/>
  <c r="W47"/>
  <c r="F41"/>
  <c r="AA41"/>
  <c r="H41"/>
  <c r="AB41"/>
  <c r="J41"/>
  <c r="AC41"/>
  <c r="E94" i="40"/>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J42" i="40"/>
  <c r="AC42"/>
  <c r="J40"/>
  <c r="AC40"/>
  <c r="J34"/>
  <c r="AC34"/>
  <c r="H16"/>
  <c r="AB16"/>
  <c r="H14"/>
  <c r="U14"/>
  <c r="F32"/>
  <c r="AA32"/>
  <c r="AZ401" i="3"/>
  <c r="AZ428"/>
  <c r="AZ433"/>
  <c r="AZ436"/>
  <c r="AZ441"/>
  <c r="AZ444"/>
  <c r="AZ449"/>
  <c r="AZ452"/>
  <c r="M1" i="46"/>
  <c r="M6"/>
  <c r="M10"/>
  <c r="N2"/>
  <c r="N5"/>
  <c r="F58"/>
  <c r="N8"/>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56"/>
  <c r="AZ63"/>
  <c r="AZ71"/>
  <c r="AZ79"/>
  <c r="AZ91"/>
  <c r="AZ99"/>
  <c r="AZ107"/>
  <c r="AZ112"/>
  <c r="J13" i="40"/>
  <c r="W13"/>
  <c r="AB14"/>
  <c r="W40"/>
  <c r="F34" i="44"/>
  <c r="F27" i="43"/>
  <c r="F66" i="9"/>
  <c r="P72"/>
  <c r="F71"/>
  <c r="F72"/>
  <c r="AC14" i="40"/>
  <c r="W35"/>
  <c r="S33"/>
  <c r="AB32"/>
  <c r="S47" i="39"/>
  <c r="U37" i="34"/>
  <c r="AB37"/>
  <c r="AC41" i="40"/>
  <c r="W41"/>
  <c r="U41"/>
  <c r="J23"/>
  <c r="AC23"/>
  <c r="G92"/>
  <c r="F23"/>
  <c r="S23"/>
  <c r="AC15"/>
  <c r="W15"/>
  <c r="AB16" i="39"/>
  <c r="U23" i="35"/>
  <c r="AB23"/>
  <c r="H15" i="34"/>
  <c r="AB15"/>
  <c r="F78"/>
  <c r="G78"/>
  <c r="J15"/>
  <c r="H41" i="33"/>
  <c r="U41"/>
  <c r="F121"/>
  <c r="G121"/>
  <c r="H121"/>
  <c r="I121"/>
  <c r="J121"/>
  <c r="K121"/>
  <c r="L121"/>
  <c r="M121"/>
  <c r="F30" i="40"/>
  <c r="AA30"/>
  <c r="H100"/>
  <c r="I100"/>
  <c r="J100"/>
  <c r="K100"/>
  <c r="L100"/>
  <c r="M100"/>
  <c r="AB38" i="34"/>
  <c r="AZ486" i="3"/>
  <c r="AZ497"/>
  <c r="AZ504"/>
  <c r="AZ515"/>
  <c r="AZ529"/>
  <c r="AZ530"/>
  <c r="AZ537"/>
  <c r="AZ547"/>
  <c r="AZ548"/>
  <c r="AZ549"/>
  <c r="AB37" i="39"/>
  <c r="U39"/>
  <c r="J29"/>
  <c r="AC29"/>
  <c r="AB33" i="36"/>
  <c r="AA11"/>
  <c r="AA14" i="35"/>
  <c r="S14"/>
  <c r="G99" i="37"/>
  <c r="F33"/>
  <c r="U46" i="34"/>
  <c r="AC30"/>
  <c r="AA14"/>
  <c r="W12"/>
  <c r="U29" i="33"/>
  <c r="AC13"/>
  <c r="U17" i="34"/>
  <c r="AA11"/>
  <c r="W32" i="33"/>
  <c r="H15"/>
  <c r="U15"/>
  <c r="AA11"/>
  <c r="AA40" i="21"/>
  <c r="U17"/>
  <c r="U16" i="40"/>
  <c r="W34"/>
  <c r="AB34"/>
  <c r="AB42"/>
  <c r="U42"/>
  <c r="AC16"/>
  <c r="W32"/>
  <c r="H25"/>
  <c r="AB25"/>
  <c r="F94"/>
  <c r="G94"/>
  <c r="W15" i="39"/>
  <c r="J37" i="34"/>
  <c r="AC37"/>
  <c r="J36" i="33"/>
  <c r="W36"/>
  <c r="S41" i="40"/>
  <c r="AB23"/>
  <c r="H23" i="39"/>
  <c r="AB23"/>
  <c r="J23"/>
  <c r="AC23"/>
  <c r="F97"/>
  <c r="G97"/>
  <c r="S16"/>
  <c r="S15" i="34"/>
  <c r="AA15"/>
  <c r="AA41" i="33"/>
  <c r="AA34"/>
  <c r="F106"/>
  <c r="G106"/>
  <c r="H106"/>
  <c r="I106"/>
  <c r="J106"/>
  <c r="K106"/>
  <c r="L106"/>
  <c r="M106"/>
  <c r="J34"/>
  <c r="AC34"/>
  <c r="U30" i="40"/>
  <c r="AA37" i="39"/>
  <c r="AC39"/>
  <c r="W39"/>
  <c r="AA39"/>
  <c r="S39"/>
  <c r="AB46"/>
  <c r="AB44"/>
  <c r="U11" i="36"/>
  <c r="F80" i="35"/>
  <c r="G80"/>
  <c r="H80"/>
  <c r="I80"/>
  <c r="J80"/>
  <c r="K80"/>
  <c r="L80"/>
  <c r="M80"/>
  <c r="F90" i="34"/>
  <c r="G90"/>
  <c r="H90"/>
  <c r="I90"/>
  <c r="J90"/>
  <c r="K90"/>
  <c r="L90"/>
  <c r="M90"/>
  <c r="F27"/>
  <c r="S27"/>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AC13" i="40"/>
  <c r="J11" i="34"/>
  <c r="W11"/>
  <c r="S17"/>
  <c r="AC36" i="33"/>
  <c r="F25" i="40"/>
  <c r="AA25"/>
  <c r="J11" i="33"/>
  <c r="W11"/>
  <c r="H33" i="37"/>
  <c r="AB33"/>
  <c r="W15" i="34"/>
  <c r="AC15"/>
  <c r="W23" i="40"/>
  <c r="D73" i="9"/>
  <c r="N73"/>
  <c r="AP11" i="1"/>
  <c r="B11"/>
  <c r="E11"/>
  <c r="K11"/>
  <c r="M11"/>
  <c r="B9"/>
  <c r="E9"/>
  <c r="K9"/>
  <c r="B7"/>
  <c r="E7"/>
  <c r="C20" i="43"/>
  <c r="F6" i="1"/>
  <c r="AP6"/>
  <c r="G11"/>
  <c r="M22" i="44"/>
  <c r="F32" i="15"/>
  <c r="F59"/>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AA13"/>
  <c r="AC9"/>
  <c r="S8"/>
  <c r="U33"/>
  <c r="S23"/>
  <c r="AB14"/>
  <c r="W13"/>
  <c r="AC18"/>
  <c r="W18"/>
  <c r="U18"/>
  <c r="AB18"/>
  <c r="S30"/>
  <c r="AA35"/>
  <c r="AB30"/>
  <c r="S27"/>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S11" i="39"/>
  <c r="AA21"/>
  <c r="AC38"/>
  <c r="S29"/>
  <c r="AC21"/>
  <c r="AB15"/>
  <c r="U11"/>
  <c r="AB38"/>
  <c r="U31"/>
  <c r="AB31"/>
  <c r="S38"/>
  <c r="S22" i="31"/>
  <c r="M20" i="15"/>
  <c r="D96" i="9"/>
  <c r="F28" i="15"/>
  <c r="M18"/>
  <c r="BA16" i="3"/>
  <c r="BA17"/>
  <c r="F3" i="35"/>
  <c r="K1" i="43"/>
  <c r="K1" i="12"/>
  <c r="G1" i="44"/>
  <c r="BK5" i="3"/>
  <c r="BC5"/>
  <c r="BD5"/>
  <c r="BA13"/>
  <c r="G28" i="12"/>
  <c r="G22" i="43"/>
  <c r="G26" i="12"/>
  <c r="D24" i="44"/>
  <c r="D26"/>
  <c r="G27" i="12"/>
  <c r="G23" i="43"/>
  <c r="G21"/>
  <c r="H54" i="46"/>
  <c r="E11"/>
  <c r="E10"/>
  <c r="N4"/>
  <c r="N1"/>
  <c r="M9"/>
  <c r="M2"/>
  <c r="N11"/>
  <c r="N9"/>
  <c r="F69"/>
  <c r="M4"/>
  <c r="M12"/>
  <c r="M3"/>
  <c r="M5"/>
  <c r="H6" i="48"/>
  <c r="E9" i="46"/>
  <c r="H15" i="48"/>
  <c r="H5"/>
  <c r="H14"/>
  <c r="F38" i="46"/>
  <c r="F36"/>
  <c r="F34"/>
  <c r="F39"/>
  <c r="H13" i="48"/>
  <c r="H11"/>
  <c r="E8" i="46"/>
  <c r="C7"/>
  <c r="E17"/>
  <c r="D71"/>
  <c r="D84"/>
  <c r="E80"/>
  <c r="B78"/>
  <c r="D69"/>
  <c r="E69"/>
  <c r="B67"/>
  <c r="E47"/>
  <c r="E58"/>
  <c r="A4" i="64"/>
  <c r="A4" i="51"/>
  <c r="B6" i="63"/>
  <c r="C51" i="10"/>
  <c r="H58" i="46"/>
  <c r="H61"/>
  <c r="H62"/>
  <c r="H71"/>
  <c r="H75"/>
  <c r="H76"/>
  <c r="I100"/>
  <c r="B56"/>
  <c r="C24"/>
  <c r="N100"/>
  <c r="H100"/>
  <c r="F108"/>
  <c r="H80"/>
  <c r="B45"/>
  <c r="E100"/>
  <c r="G100"/>
  <c r="H84"/>
  <c r="H65"/>
  <c r="H66"/>
  <c r="C100"/>
  <c r="J100"/>
  <c r="M100"/>
  <c r="AA12" i="36"/>
  <c r="U12" i="35"/>
  <c r="AB12"/>
  <c r="W11"/>
  <c r="AA11"/>
  <c r="S14" i="37"/>
  <c r="U13"/>
  <c r="S13" i="21"/>
  <c r="C24" i="9"/>
  <c r="C25"/>
  <c r="AP7" i="1"/>
  <c r="G7"/>
  <c r="AP9"/>
  <c r="G9"/>
  <c r="AP8"/>
  <c r="G8"/>
  <c r="I20" i="46"/>
  <c r="C20"/>
  <c r="B46" i="50"/>
  <c r="B4" i="63"/>
  <c r="C46" i="36"/>
  <c r="D46"/>
  <c r="E46"/>
  <c r="F46"/>
  <c r="G46"/>
  <c r="H46"/>
  <c r="C59" i="34"/>
  <c r="D59"/>
  <c r="E59"/>
  <c r="C52" i="37"/>
  <c r="D52"/>
  <c r="C67" i="40"/>
  <c r="D65"/>
  <c r="P24" i="46"/>
  <c r="B68" i="40"/>
  <c r="P25" i="46"/>
  <c r="P23"/>
  <c r="B73" i="39"/>
  <c r="P21" i="46"/>
  <c r="P22"/>
  <c r="C72" i="39"/>
  <c r="D70"/>
  <c r="E70"/>
  <c r="O19" i="46"/>
  <c r="H77"/>
  <c r="H73"/>
  <c r="H69"/>
  <c r="H74"/>
  <c r="H86"/>
  <c r="H82"/>
  <c r="H63"/>
  <c r="H59"/>
  <c r="H64"/>
  <c r="H60"/>
  <c r="H10" i="48"/>
  <c r="H87" i="46"/>
  <c r="H85"/>
  <c r="H83"/>
  <c r="K10" i="1"/>
  <c r="M10"/>
  <c r="S11"/>
  <c r="R11"/>
  <c r="S13"/>
  <c r="R13"/>
  <c r="B6"/>
  <c r="E6"/>
  <c r="B10"/>
  <c r="E10"/>
  <c r="S10"/>
  <c r="B8"/>
  <c r="E8"/>
  <c r="B12"/>
  <c r="E12"/>
  <c r="S12"/>
  <c r="K6"/>
  <c r="M6"/>
  <c r="C15" i="43"/>
  <c r="G1" i="15"/>
  <c r="F66" i="36"/>
  <c r="H18"/>
  <c r="U16"/>
  <c r="S25"/>
  <c r="AA34"/>
  <c r="U23"/>
  <c r="AC27"/>
  <c r="W28"/>
  <c r="AA32"/>
  <c r="U13"/>
  <c r="AA22"/>
  <c r="U10"/>
  <c r="AA13"/>
  <c r="W29"/>
  <c r="W9"/>
  <c r="S9"/>
  <c r="W8"/>
  <c r="AC30" i="35"/>
  <c r="U24"/>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AC31"/>
  <c r="S45"/>
  <c r="W41"/>
  <c r="AB33"/>
  <c r="AC46"/>
  <c r="W36"/>
  <c r="AC37"/>
  <c r="W16"/>
  <c r="S15"/>
  <c r="W45"/>
  <c r="AA44"/>
  <c r="AA46"/>
  <c r="W10"/>
  <c r="W11"/>
  <c r="W40"/>
  <c r="S32" i="40"/>
  <c r="C27" i="39"/>
  <c r="C17" i="40"/>
  <c r="C19"/>
  <c r="C17" i="39"/>
  <c r="C19"/>
  <c r="C21"/>
  <c r="C23" i="40"/>
  <c r="B48" i="46"/>
  <c r="B51"/>
  <c r="B55"/>
  <c r="B59"/>
  <c r="B62"/>
  <c r="B66"/>
  <c r="B53"/>
  <c r="B64"/>
  <c r="B7" i="52"/>
  <c r="B8"/>
  <c r="B16"/>
  <c r="D24" i="15"/>
  <c r="G6" i="1"/>
  <c r="S14" i="36"/>
  <c r="AB20"/>
  <c r="AA20"/>
  <c r="AC14"/>
  <c r="W14"/>
  <c r="U14"/>
  <c r="AB14"/>
  <c r="U18"/>
  <c r="AB18"/>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B20" i="31"/>
  <c r="R22"/>
  <c r="B21"/>
  <c r="E5" i="6"/>
  <c r="H70" i="46"/>
  <c r="H72"/>
  <c r="A9" i="64"/>
  <c r="A9" i="51"/>
  <c r="B9" i="63"/>
  <c r="E52" i="37"/>
  <c r="F52"/>
  <c r="G52"/>
  <c r="H52"/>
  <c r="I52"/>
  <c r="D72" i="39"/>
  <c r="D67" i="40"/>
  <c r="E65"/>
  <c r="G66" i="36"/>
  <c r="J18"/>
  <c r="W18"/>
  <c r="AC18"/>
  <c r="AG6" i="1"/>
  <c r="L20" i="6"/>
  <c r="L19"/>
  <c r="F7" i="21"/>
  <c r="AA7"/>
  <c r="R48"/>
  <c r="J7"/>
  <c r="W7"/>
  <c r="H7"/>
  <c r="U7"/>
  <c r="E67" i="40"/>
  <c r="F65"/>
  <c r="F67"/>
  <c r="AC7" i="21"/>
  <c r="V48"/>
  <c r="I48"/>
  <c r="I52"/>
  <c r="J52"/>
  <c r="AB7"/>
  <c r="T48"/>
  <c r="G48"/>
  <c r="S7"/>
  <c r="G65" i="40"/>
  <c r="G67"/>
  <c r="C45" i="9"/>
  <c r="H14" i="66"/>
  <c r="B7"/>
  <c r="K31" i="9"/>
  <c r="K32"/>
  <c r="C46"/>
  <c r="K33"/>
  <c r="I14" i="66"/>
  <c r="B8"/>
  <c r="AE6" i="1"/>
  <c r="F33" i="44"/>
  <c r="F31" i="15"/>
  <c r="F8" i="44"/>
  <c r="M25"/>
  <c r="I7" i="65"/>
  <c r="J15" i="15"/>
  <c r="L48"/>
  <c r="M6"/>
  <c r="J15" i="69"/>
  <c r="M27" i="15"/>
  <c r="F26" i="70"/>
  <c r="E8" i="67"/>
  <c r="F9" i="44"/>
  <c r="M8"/>
  <c r="J36" i="69"/>
  <c r="M23" i="15"/>
  <c r="F38" i="70"/>
  <c r="M26" i="15"/>
  <c r="M9" i="70"/>
  <c r="F11" i="67"/>
  <c r="M8" i="15"/>
  <c r="J17" i="44"/>
  <c r="M26" i="70"/>
  <c r="L49" i="44"/>
  <c r="F40" i="15"/>
  <c r="F16"/>
  <c r="M8" i="70"/>
  <c r="M22" i="15"/>
  <c r="F18" i="44"/>
  <c r="F6" i="70"/>
  <c r="B8" i="67"/>
  <c r="I3" i="65"/>
  <c r="E10" i="67"/>
  <c r="J15" i="70"/>
  <c r="E12" i="67"/>
  <c r="F43" i="15"/>
  <c r="M10" i="44"/>
  <c r="F40" i="70"/>
  <c r="F13" i="67"/>
  <c r="F37" i="15"/>
  <c r="M28" i="44"/>
  <c r="M23" i="69"/>
  <c r="N7" i="65"/>
  <c r="F46" i="44"/>
  <c r="F8" i="15"/>
  <c r="F26" i="69"/>
  <c r="F12" i="67"/>
  <c r="J7" i="65"/>
  <c r="L48" i="44"/>
  <c r="J36" i="70"/>
  <c r="B12" i="67"/>
  <c r="M24" i="44"/>
  <c r="F28"/>
  <c r="F13" i="70"/>
  <c r="E14" i="67"/>
  <c r="F43" i="44"/>
  <c r="M30"/>
  <c r="L48" i="70"/>
  <c r="B14" i="67"/>
  <c r="M29" i="15"/>
  <c r="F7"/>
  <c r="F16" i="69"/>
  <c r="N6" i="65"/>
  <c r="F36" i="15"/>
  <c r="F45" i="44"/>
  <c r="M9" i="69"/>
  <c r="N5" i="65"/>
  <c r="F10" i="67"/>
  <c r="L47" i="15"/>
  <c r="M27" i="70"/>
  <c r="B10" i="67"/>
  <c r="F8"/>
  <c r="F40" i="44"/>
  <c r="F13" i="69"/>
  <c r="M11" i="44"/>
  <c r="B9" i="67"/>
  <c r="M23" i="44"/>
  <c r="F9" i="67"/>
  <c r="M9" i="15"/>
  <c r="M28"/>
  <c r="E13" i="67"/>
  <c r="M29" i="69"/>
  <c r="J3" i="65"/>
  <c r="E11" i="67"/>
  <c r="F38" i="15"/>
  <c r="M6" i="69"/>
  <c r="N4" i="65"/>
  <c r="E9" i="67"/>
  <c r="F39" i="44"/>
  <c r="F38" i="69"/>
  <c r="J5" i="65"/>
  <c r="F14" i="67"/>
  <c r="F9" i="15"/>
  <c r="M8" i="69"/>
  <c r="F10" i="44"/>
  <c r="J36" i="15"/>
  <c r="I6" i="65"/>
  <c r="F6" i="69"/>
  <c r="M24" i="15"/>
  <c r="B11" i="67"/>
  <c r="F38" i="44"/>
  <c r="M26" i="69"/>
  <c r="F11" i="44"/>
  <c r="B13" i="67"/>
  <c r="F43" i="69"/>
  <c r="M29" i="44"/>
  <c r="J4" i="65"/>
  <c r="F16" i="70"/>
  <c r="F26" i="15"/>
  <c r="F37" i="70"/>
  <c r="F13" i="15"/>
  <c r="M31" i="44"/>
  <c r="F37" i="69"/>
  <c r="F6" i="15"/>
  <c r="N3" i="65"/>
  <c r="C19" i="44"/>
  <c r="L48" i="69"/>
  <c r="J6" i="65"/>
  <c r="M23" i="70"/>
  <c r="M27" i="69"/>
  <c r="F15" i="44"/>
  <c r="F37"/>
  <c r="F40" i="69"/>
  <c r="F7"/>
  <c r="I5" i="65"/>
  <c r="M26" i="44"/>
  <c r="M6" i="70"/>
  <c r="F42" i="15"/>
  <c r="F70" i="35"/>
  <c r="G70"/>
  <c r="J20"/>
  <c r="F20"/>
  <c r="S20"/>
  <c r="H20"/>
  <c r="S18"/>
  <c r="F66"/>
  <c r="G66"/>
  <c r="H16"/>
  <c r="J16"/>
  <c r="F16"/>
  <c r="AA16"/>
  <c r="H87"/>
  <c r="I87"/>
  <c r="J87"/>
  <c r="K87"/>
  <c r="L87"/>
  <c r="M87"/>
  <c r="H29"/>
  <c r="J29"/>
  <c r="F29"/>
  <c r="S29"/>
  <c r="F84"/>
  <c r="G84"/>
  <c r="H84"/>
  <c r="I84"/>
  <c r="J84"/>
  <c r="K84"/>
  <c r="L84"/>
  <c r="M84"/>
  <c r="W32"/>
  <c r="AB9"/>
  <c r="U9"/>
  <c r="F9"/>
  <c r="S16"/>
  <c r="W14"/>
  <c r="AC10"/>
  <c r="U22"/>
  <c r="AB10"/>
  <c r="S22"/>
  <c r="AA20"/>
  <c r="S10"/>
  <c r="AB27"/>
  <c r="S31"/>
  <c r="AA29"/>
  <c r="W35"/>
  <c r="F26"/>
  <c r="J26"/>
  <c r="H26"/>
  <c r="O40" i="9"/>
  <c r="R7" i="54"/>
  <c r="B52" i="63"/>
  <c r="G27" i="6"/>
  <c r="M7" i="69"/>
  <c r="J6"/>
  <c r="F49"/>
  <c r="C48"/>
  <c r="E58" i="39"/>
  <c r="E53" i="40"/>
  <c r="I4" i="6"/>
  <c r="M9" i="1"/>
  <c r="D18" i="9"/>
  <c r="M44"/>
  <c r="M43"/>
  <c r="A30" i="51"/>
  <c r="B22" i="63"/>
  <c r="L60" i="70"/>
  <c r="L56"/>
  <c r="L57"/>
  <c r="J60"/>
  <c r="Q49"/>
  <c r="J57"/>
  <c r="J55"/>
  <c r="J58"/>
  <c r="Q51"/>
  <c r="J53"/>
  <c r="L58"/>
  <c r="J59"/>
  <c r="I54"/>
  <c r="F65"/>
  <c r="Q72"/>
  <c r="C27"/>
  <c r="F67"/>
  <c r="F64"/>
  <c r="Q75"/>
  <c r="Q62"/>
  <c r="F70" i="69"/>
  <c r="F67"/>
  <c r="F64"/>
  <c r="C27"/>
  <c r="C6"/>
  <c r="L60"/>
  <c r="L56"/>
  <c r="L57"/>
  <c r="J60"/>
  <c r="Q49"/>
  <c r="J57"/>
  <c r="J55"/>
  <c r="J58"/>
  <c r="Q51"/>
  <c r="I54"/>
  <c r="L58"/>
  <c r="J59"/>
  <c r="J53"/>
  <c r="F65"/>
  <c r="Q72"/>
  <c r="Q75"/>
  <c r="Q62"/>
  <c r="H126" i="39"/>
  <c r="I126"/>
  <c r="J126"/>
  <c r="K126"/>
  <c r="L126"/>
  <c r="M126"/>
  <c r="H43"/>
  <c r="F43"/>
  <c r="J43"/>
  <c r="W43"/>
  <c r="AB42"/>
  <c r="U42"/>
  <c r="E124"/>
  <c r="F124"/>
  <c r="G124"/>
  <c r="H124"/>
  <c r="I124"/>
  <c r="J124"/>
  <c r="K124"/>
  <c r="L124"/>
  <c r="M124"/>
  <c r="J42"/>
  <c r="AC42"/>
  <c r="F42"/>
  <c r="F34"/>
  <c r="J34"/>
  <c r="H109"/>
  <c r="I109"/>
  <c r="J109"/>
  <c r="K109"/>
  <c r="L109"/>
  <c r="M109"/>
  <c r="H34"/>
  <c r="U34"/>
  <c r="F101"/>
  <c r="G101"/>
  <c r="F27"/>
  <c r="AA27"/>
  <c r="J27"/>
  <c r="AC27"/>
  <c r="H27"/>
  <c r="AB27"/>
  <c r="F99"/>
  <c r="G99"/>
  <c r="H25"/>
  <c r="U25"/>
  <c r="F93"/>
  <c r="F19"/>
  <c r="F91"/>
  <c r="G91"/>
  <c r="F17"/>
  <c r="AA17"/>
  <c r="J17"/>
  <c r="W17"/>
  <c r="H17"/>
  <c r="U17"/>
  <c r="W25"/>
  <c r="W33"/>
  <c r="AB29"/>
  <c r="S17"/>
  <c r="S31"/>
  <c r="AA33"/>
  <c r="AB45"/>
  <c r="U47"/>
  <c r="AC47"/>
  <c r="W29"/>
  <c r="S27"/>
  <c r="U27"/>
  <c r="W27"/>
  <c r="S25"/>
  <c r="AB25"/>
  <c r="W23"/>
  <c r="U23"/>
  <c r="S23"/>
  <c r="U21"/>
  <c r="AB17"/>
  <c r="AC44"/>
  <c r="AC43"/>
  <c r="W42"/>
  <c r="S41"/>
  <c r="U41"/>
  <c r="AB34"/>
  <c r="W31"/>
  <c r="S14"/>
  <c r="W14"/>
  <c r="U14"/>
  <c r="F83"/>
  <c r="G83"/>
  <c r="H83"/>
  <c r="I83"/>
  <c r="J83"/>
  <c r="K83"/>
  <c r="L83"/>
  <c r="M83"/>
  <c r="E72"/>
  <c r="F70"/>
  <c r="E48" i="21"/>
  <c r="R49"/>
  <c r="I53"/>
  <c r="J53"/>
  <c r="H65" i="40"/>
  <c r="H67"/>
  <c r="D23" i="15"/>
  <c r="E5" i="52"/>
  <c r="E10"/>
  <c r="B9"/>
  <c r="K14" i="1"/>
  <c r="M14"/>
  <c r="O14"/>
  <c r="P14"/>
  <c r="BA21" i="3"/>
  <c r="BA5"/>
  <c r="E27" i="6"/>
  <c r="D12" i="11"/>
  <c r="C12"/>
  <c r="E476" i="3"/>
  <c r="L27" i="6"/>
  <c r="G30"/>
  <c r="G31"/>
  <c r="K15" i="1"/>
  <c r="O10"/>
  <c r="P10"/>
  <c r="O6"/>
  <c r="P6"/>
  <c r="C15" i="12"/>
  <c r="O9" i="1"/>
  <c r="P9"/>
  <c r="E12" i="6"/>
  <c r="E10"/>
  <c r="E13"/>
  <c r="E14"/>
  <c r="E15"/>
  <c r="E11"/>
  <c r="O13" i="1"/>
  <c r="P13"/>
  <c r="O11"/>
  <c r="P11"/>
  <c r="BL5" i="3"/>
  <c r="O8" i="1"/>
  <c r="P8"/>
  <c r="O12"/>
  <c r="P12"/>
  <c r="H55" i="46"/>
  <c r="H52"/>
  <c r="C5"/>
  <c r="H51"/>
  <c r="H50"/>
  <c r="H53"/>
  <c r="H48"/>
  <c r="H47"/>
  <c r="A18" i="51"/>
  <c r="B14" i="63"/>
  <c r="L5" i="54"/>
  <c r="B39" i="63"/>
  <c r="K5" i="54"/>
  <c r="A18" i="64"/>
  <c r="B74" i="63"/>
  <c r="C53" i="10"/>
  <c r="T41" i="4"/>
  <c r="A17" i="64"/>
  <c r="A11" i="55"/>
  <c r="B62" i="63"/>
  <c r="A2" i="55"/>
  <c r="B55" i="63"/>
  <c r="K17" i="4"/>
  <c r="A22" i="51"/>
  <c r="B16" i="63"/>
  <c r="B6" i="52"/>
  <c r="B23"/>
  <c r="E9"/>
  <c r="B4"/>
  <c r="B10"/>
  <c r="E11"/>
  <c r="E4" i="4"/>
  <c r="B21" i="55"/>
  <c r="B21" i="63"/>
  <c r="K34" i="9"/>
  <c r="O41"/>
  <c r="R8" i="54"/>
  <c r="B54" i="63"/>
  <c r="L76" i="9"/>
  <c r="N76"/>
  <c r="E4" i="52"/>
  <c r="E16"/>
  <c r="B11"/>
  <c r="E8"/>
  <c r="C4" i="4"/>
  <c r="B20" i="55"/>
  <c r="B5" i="52"/>
  <c r="B13"/>
  <c r="B22"/>
  <c r="E21"/>
  <c r="B14"/>
  <c r="E6"/>
  <c r="E7"/>
  <c r="K76" i="9"/>
  <c r="K77"/>
  <c r="K79"/>
  <c r="K81"/>
  <c r="I65" i="40"/>
  <c r="G52" i="21"/>
  <c r="H52"/>
  <c r="G53"/>
  <c r="H53"/>
  <c r="I46" i="36"/>
  <c r="J46"/>
  <c r="K46"/>
  <c r="L46"/>
  <c r="M46"/>
  <c r="N46"/>
  <c r="O46"/>
  <c r="J7"/>
  <c r="J52" i="37"/>
  <c r="K52"/>
  <c r="L52"/>
  <c r="M52"/>
  <c r="N52"/>
  <c r="O52"/>
  <c r="F7"/>
  <c r="E58" i="33"/>
  <c r="F58"/>
  <c r="G58"/>
  <c r="H58"/>
  <c r="I58"/>
  <c r="J58"/>
  <c r="K58"/>
  <c r="L58"/>
  <c r="M58"/>
  <c r="N58"/>
  <c r="O58"/>
  <c r="H7"/>
  <c r="C36" i="46"/>
  <c r="C35"/>
  <c r="C34"/>
  <c r="C33"/>
  <c r="T12"/>
  <c r="V12"/>
  <c r="F59" i="34"/>
  <c r="C27" i="43"/>
  <c r="C31"/>
  <c r="C28" i="15"/>
  <c r="C30" i="44"/>
  <c r="C25" i="12"/>
  <c r="C36" i="44"/>
  <c r="J22"/>
  <c r="F65" i="15"/>
  <c r="F50"/>
  <c r="L58"/>
  <c r="L59"/>
  <c r="C8" i="44"/>
  <c r="F49" i="15"/>
  <c r="M7"/>
  <c r="J6"/>
  <c r="C29" i="44"/>
  <c r="F63" i="15"/>
  <c r="Q72"/>
  <c r="I1" i="65"/>
  <c r="Q73" i="44"/>
  <c r="F70" i="15"/>
  <c r="F64"/>
  <c r="M9" i="44"/>
  <c r="J8"/>
  <c r="F67" i="15"/>
  <c r="C6"/>
  <c r="L60" i="44"/>
  <c r="L59"/>
  <c r="C27" i="15"/>
  <c r="J1" i="65"/>
  <c r="C4"/>
  <c r="B39" i="1"/>
  <c r="I55" i="44"/>
  <c r="J60"/>
  <c r="L57"/>
  <c r="J54"/>
  <c r="J58"/>
  <c r="J56"/>
  <c r="J59"/>
  <c r="Q52"/>
  <c r="J61"/>
  <c r="Q50"/>
  <c r="J57" i="15"/>
  <c r="J55"/>
  <c r="J58"/>
  <c r="Q51"/>
  <c r="J53"/>
  <c r="I54"/>
  <c r="L56"/>
  <c r="M17"/>
  <c r="M19" i="44"/>
  <c r="F58" i="15"/>
  <c r="C16" i="69"/>
  <c r="C16" i="15"/>
  <c r="C18" i="44"/>
  <c r="E2" i="65"/>
  <c r="E3"/>
  <c r="AB20" i="35"/>
  <c r="U20"/>
  <c r="AC20"/>
  <c r="W20"/>
  <c r="U16"/>
  <c r="AB16"/>
  <c r="W16"/>
  <c r="AC16"/>
  <c r="U29"/>
  <c r="AB29"/>
  <c r="AC29"/>
  <c r="W29"/>
  <c r="S28"/>
  <c r="W28"/>
  <c r="U28"/>
  <c r="AA9"/>
  <c r="S9"/>
  <c r="AC26"/>
  <c r="W26"/>
  <c r="AB26"/>
  <c r="U26"/>
  <c r="S26"/>
  <c r="AA26"/>
  <c r="D9" i="12"/>
  <c r="K7" i="1"/>
  <c r="G3" i="46"/>
  <c r="C13" i="39"/>
  <c r="B70" i="63"/>
  <c r="B72"/>
  <c r="AC17" i="39"/>
  <c r="M11" i="70"/>
  <c r="J10"/>
  <c r="F11"/>
  <c r="C52"/>
  <c r="Q53"/>
  <c r="F1"/>
  <c r="Q61"/>
  <c r="Q74"/>
  <c r="Q67"/>
  <c r="Q58"/>
  <c r="M11" i="69"/>
  <c r="J10"/>
  <c r="J5"/>
  <c r="F11"/>
  <c r="C52"/>
  <c r="C47"/>
  <c r="Q61"/>
  <c r="Q74"/>
  <c r="Q67"/>
  <c r="Q58"/>
  <c r="Q53"/>
  <c r="F1"/>
  <c r="U43" i="39"/>
  <c r="AB43"/>
  <c r="S43"/>
  <c r="AA43"/>
  <c r="AA42"/>
  <c r="S42"/>
  <c r="AC34"/>
  <c r="W34"/>
  <c r="AA34"/>
  <c r="S34"/>
  <c r="J19"/>
  <c r="S19"/>
  <c r="AA19"/>
  <c r="G93"/>
  <c r="H19"/>
  <c r="J7" i="33"/>
  <c r="F7"/>
  <c r="J7" i="37"/>
  <c r="H7"/>
  <c r="F7" i="36"/>
  <c r="AA7"/>
  <c r="R36"/>
  <c r="H7"/>
  <c r="C49" i="21"/>
  <c r="B3"/>
  <c r="B2"/>
  <c r="C48"/>
  <c r="F72" i="39"/>
  <c r="G70"/>
  <c r="E52" i="21"/>
  <c r="F52"/>
  <c r="E53"/>
  <c r="F53"/>
  <c r="E390" i="3"/>
  <c r="E343"/>
  <c r="E30" i="6"/>
  <c r="E31"/>
  <c r="E199" i="3"/>
  <c r="E561"/>
  <c r="E172"/>
  <c r="E435"/>
  <c r="E187"/>
  <c r="E194"/>
  <c r="E313"/>
  <c r="E437"/>
  <c r="E357"/>
  <c r="E423"/>
  <c r="E225"/>
  <c r="E296"/>
  <c r="E78"/>
  <c r="E443"/>
  <c r="E405"/>
  <c r="E109"/>
  <c r="E299"/>
  <c r="E279"/>
  <c r="E420"/>
  <c r="E430"/>
  <c r="E452"/>
  <c r="E54"/>
  <c r="E537"/>
  <c r="E253"/>
  <c r="E472"/>
  <c r="E158"/>
  <c r="E337"/>
  <c r="AM6"/>
  <c r="E265"/>
  <c r="E23"/>
  <c r="W6"/>
  <c r="E53"/>
  <c r="E151"/>
  <c r="E410"/>
  <c r="E62"/>
  <c r="E31"/>
  <c r="E241"/>
  <c r="E417"/>
  <c r="E203"/>
  <c r="E383"/>
  <c r="E205"/>
  <c r="E282"/>
  <c r="K22" i="6"/>
  <c r="K26"/>
  <c r="M26"/>
  <c r="I26"/>
  <c r="S26"/>
  <c r="P6" i="3"/>
  <c r="E140"/>
  <c r="AH6"/>
  <c r="E64"/>
  <c r="E125"/>
  <c r="E21"/>
  <c r="R6"/>
  <c r="E294"/>
  <c r="E387"/>
  <c r="E376"/>
  <c r="E534"/>
  <c r="E94"/>
  <c r="E104"/>
  <c r="E278"/>
  <c r="E193"/>
  <c r="E427"/>
  <c r="E49"/>
  <c r="E381"/>
  <c r="E156"/>
  <c r="E535"/>
  <c r="E283"/>
  <c r="E293"/>
  <c r="E469"/>
  <c r="E412"/>
  <c r="E27"/>
  <c r="E148"/>
  <c r="E185"/>
  <c r="E468"/>
  <c r="E142"/>
  <c r="E230"/>
  <c r="E103"/>
  <c r="AA6"/>
  <c r="E221"/>
  <c r="E446"/>
  <c r="E347"/>
  <c r="E145"/>
  <c r="E255"/>
  <c r="E402"/>
  <c r="E233"/>
  <c r="E190"/>
  <c r="AS6"/>
  <c r="E478"/>
  <c r="E552"/>
  <c r="E83"/>
  <c r="E348"/>
  <c r="E38"/>
  <c r="E70"/>
  <c r="E431"/>
  <c r="AP6"/>
  <c r="E84"/>
  <c r="E143"/>
  <c r="E389"/>
  <c r="E200"/>
  <c r="E327"/>
  <c r="AD6"/>
  <c r="X6"/>
  <c r="E457"/>
  <c r="E46"/>
  <c r="E152"/>
  <c r="E69"/>
  <c r="M6"/>
  <c r="E220"/>
  <c r="E480"/>
  <c r="E88"/>
  <c r="E393"/>
  <c r="E288"/>
  <c r="E107"/>
  <c r="E39"/>
  <c r="E261"/>
  <c r="E111"/>
  <c r="E560"/>
  <c r="E247"/>
  <c r="E444"/>
  <c r="E179"/>
  <c r="E317"/>
  <c r="E399"/>
  <c r="E223"/>
  <c r="E77"/>
  <c r="E222"/>
  <c r="E375"/>
  <c r="E394"/>
  <c r="E192"/>
  <c r="E413"/>
  <c r="E30"/>
  <c r="I3" i="6"/>
  <c r="E374" i="3"/>
  <c r="E170"/>
  <c r="E404"/>
  <c r="E460"/>
  <c r="E100"/>
  <c r="E201"/>
  <c r="E165"/>
  <c r="E549"/>
  <c r="E428"/>
  <c r="E89"/>
  <c r="E304"/>
  <c r="E249"/>
  <c r="E237"/>
  <c r="E295"/>
  <c r="E131"/>
  <c r="E149"/>
  <c r="E36"/>
  <c r="E492"/>
  <c r="E202"/>
  <c r="E450"/>
  <c r="E44"/>
  <c r="E161"/>
  <c r="E414"/>
  <c r="E209"/>
  <c r="E238"/>
  <c r="E157"/>
  <c r="E92"/>
  <c r="E464"/>
  <c r="E408"/>
  <c r="E270"/>
  <c r="E418"/>
  <c r="E59"/>
  <c r="E471"/>
  <c r="E280"/>
  <c r="E41"/>
  <c r="AN6"/>
  <c r="E250"/>
  <c r="E395"/>
  <c r="E411"/>
  <c r="E297"/>
  <c r="E232"/>
  <c r="E398"/>
  <c r="N6"/>
  <c r="E422"/>
  <c r="E473"/>
  <c r="E98"/>
  <c r="E482"/>
  <c r="E129"/>
  <c r="E184"/>
  <c r="E174"/>
  <c r="E545"/>
  <c r="E63"/>
  <c r="E47"/>
  <c r="E110"/>
  <c r="E462"/>
  <c r="E442"/>
  <c r="E397"/>
  <c r="E218"/>
  <c r="E536"/>
  <c r="E490"/>
  <c r="E213"/>
  <c r="AK6"/>
  <c r="E520"/>
  <c r="E454"/>
  <c r="Z6"/>
  <c r="E548"/>
  <c r="I6"/>
  <c r="E215"/>
  <c r="E266"/>
  <c r="E127"/>
  <c r="E321"/>
  <c r="E391"/>
  <c r="E195"/>
  <c r="E359"/>
  <c r="E115"/>
  <c r="E91"/>
  <c r="E333"/>
  <c r="E132"/>
  <c r="E206"/>
  <c r="E421"/>
  <c r="E475"/>
  <c r="AO6"/>
  <c r="E369"/>
  <c r="E243"/>
  <c r="E264"/>
  <c r="E154"/>
  <c r="E543"/>
  <c r="E465"/>
  <c r="E486"/>
  <c r="E372"/>
  <c r="E214"/>
  <c r="E116"/>
  <c r="E67"/>
  <c r="E429"/>
  <c r="E467"/>
  <c r="L6"/>
  <c r="AT6"/>
  <c r="E275"/>
  <c r="E303"/>
  <c r="E507"/>
  <c r="E37"/>
  <c r="E189"/>
  <c r="E533"/>
  <c r="E550"/>
  <c r="E407"/>
  <c r="E34"/>
  <c r="E168"/>
  <c r="E141"/>
  <c r="E28"/>
  <c r="E80"/>
  <c r="E415"/>
  <c r="E367"/>
  <c r="E441"/>
  <c r="E57"/>
  <c r="E434"/>
  <c r="E146"/>
  <c r="E388"/>
  <c r="E124"/>
  <c r="E409"/>
  <c r="E570"/>
  <c r="E55"/>
  <c r="E93"/>
  <c r="E114"/>
  <c r="E68"/>
  <c r="E147"/>
  <c r="E439"/>
  <c r="E117"/>
  <c r="E528"/>
  <c r="E349"/>
  <c r="E311"/>
  <c r="E424"/>
  <c r="E164"/>
  <c r="E262"/>
  <c r="E274"/>
  <c r="E32"/>
  <c r="E547"/>
  <c r="E447"/>
  <c r="E33"/>
  <c r="Q6"/>
  <c r="E119"/>
  <c r="E500"/>
  <c r="E97"/>
  <c r="AE6"/>
  <c r="E289"/>
  <c r="E136"/>
  <c r="E568"/>
  <c r="E85"/>
  <c r="E539"/>
  <c r="E332"/>
  <c r="E245"/>
  <c r="E139"/>
  <c r="E52"/>
  <c r="E445"/>
  <c r="E451"/>
  <c r="E556"/>
  <c r="U6"/>
  <c r="E291"/>
  <c r="E305"/>
  <c r="E527"/>
  <c r="E73"/>
  <c r="E365"/>
  <c r="E126"/>
  <c r="E248"/>
  <c r="E211"/>
  <c r="E336"/>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86"/>
  <c r="E135"/>
  <c r="E22"/>
  <c r="E459"/>
  <c r="E231"/>
  <c r="E470"/>
  <c r="E186"/>
  <c r="E263"/>
  <c r="E82"/>
  <c r="E99"/>
  <c r="E101"/>
  <c r="E463"/>
  <c r="E292"/>
  <c r="E426"/>
  <c r="E60"/>
  <c r="E75"/>
  <c r="E178"/>
  <c r="J6"/>
  <c r="E48"/>
  <c r="E438"/>
  <c r="E455"/>
  <c r="E363"/>
  <c r="E113"/>
  <c r="E79"/>
  <c r="E425"/>
  <c r="E401"/>
  <c r="E257"/>
  <c r="E272"/>
  <c r="E166"/>
  <c r="E102"/>
  <c r="O6"/>
  <c r="E25"/>
  <c r="E204"/>
  <c r="E258"/>
  <c r="E207"/>
  <c r="E479"/>
  <c r="E449"/>
  <c r="E43"/>
  <c r="E196"/>
  <c r="E276"/>
  <c r="E259"/>
  <c r="E370"/>
  <c r="E308"/>
  <c r="Y6"/>
  <c r="E526"/>
  <c r="AR6"/>
  <c r="E416"/>
  <c r="E466"/>
  <c r="E477"/>
  <c r="E65"/>
  <c r="E96"/>
  <c r="E51"/>
  <c r="E540"/>
  <c r="E513"/>
  <c r="E160"/>
  <c r="E198"/>
  <c r="E134"/>
  <c r="E345"/>
  <c r="E242"/>
  <c r="E281"/>
  <c r="AI6"/>
  <c r="E72"/>
  <c r="E133"/>
  <c r="E290"/>
  <c r="E239"/>
  <c r="E440"/>
  <c r="E87"/>
  <c r="AF6"/>
  <c r="E234"/>
  <c r="E331"/>
  <c r="E458"/>
  <c r="E40"/>
  <c r="E128"/>
  <c r="E362"/>
  <c r="E29"/>
  <c r="E559"/>
  <c r="E150"/>
  <c r="E228"/>
  <c r="E314"/>
  <c r="E324"/>
  <c r="E180"/>
  <c r="E538"/>
  <c r="E493"/>
  <c r="E558"/>
  <c r="E551"/>
  <c r="E403"/>
  <c r="E108"/>
  <c r="E173"/>
  <c r="E246"/>
  <c r="E217"/>
  <c r="E81"/>
  <c r="E436"/>
  <c r="E16"/>
  <c r="E177"/>
  <c r="E277"/>
  <c r="E260"/>
  <c r="E385"/>
  <c r="E307"/>
  <c r="E524"/>
  <c r="E432"/>
  <c r="E95"/>
  <c r="E90"/>
  <c r="E176"/>
  <c r="E256"/>
  <c r="E554"/>
  <c r="E491"/>
  <c r="E525"/>
  <c r="E502"/>
  <c r="E319"/>
  <c r="E334"/>
  <c r="K6"/>
  <c r="E489"/>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571"/>
  <c r="E366"/>
  <c r="E518"/>
  <c r="E532"/>
  <c r="E497"/>
  <c r="E330"/>
  <c r="E167"/>
  <c r="E340"/>
  <c r="E566"/>
  <c r="E350"/>
  <c r="E515"/>
  <c r="E521"/>
  <c r="E553"/>
  <c r="E496"/>
  <c r="E494"/>
  <c r="E130"/>
  <c r="E273"/>
  <c r="E352"/>
  <c r="E542"/>
  <c r="E461"/>
  <c r="E563"/>
  <c r="E138"/>
  <c r="E254"/>
  <c r="E328"/>
  <c r="E112"/>
  <c r="E519"/>
  <c r="E341"/>
  <c r="E155"/>
  <c r="E268"/>
  <c r="E252"/>
  <c r="E316"/>
  <c r="E346"/>
  <c r="E175"/>
  <c r="E544"/>
  <c r="E19"/>
  <c r="E498"/>
  <c r="E212"/>
  <c r="E298"/>
  <c r="E35"/>
  <c r="E361"/>
  <c r="E182"/>
  <c r="E315"/>
  <c r="E267"/>
  <c r="E323"/>
  <c r="E312"/>
  <c r="E159"/>
  <c r="E514"/>
  <c r="E501"/>
  <c r="E512"/>
  <c r="E384"/>
  <c r="E371"/>
  <c r="E310"/>
  <c r="E567"/>
  <c r="E487"/>
  <c r="E329"/>
  <c r="AB6"/>
  <c r="E26"/>
  <c r="S6"/>
  <c r="E322"/>
  <c r="E511"/>
  <c r="E17"/>
  <c r="E377"/>
  <c r="E18"/>
  <c r="E358"/>
  <c r="E484"/>
  <c r="E509"/>
  <c r="E326"/>
  <c r="E20"/>
  <c r="E356"/>
  <c r="E564"/>
  <c r="E481"/>
  <c r="E153"/>
  <c r="E210"/>
  <c r="E339"/>
  <c r="E106"/>
  <c r="E14"/>
  <c r="E169"/>
  <c r="E118"/>
  <c r="E226"/>
  <c r="E378"/>
  <c r="E163"/>
  <c r="E364"/>
  <c r="E351"/>
  <c r="E342"/>
  <c r="AL6"/>
  <c r="E522"/>
  <c r="E368"/>
  <c r="E572"/>
  <c r="E510"/>
  <c r="E516"/>
  <c r="E504"/>
  <c r="E227"/>
  <c r="E406"/>
  <c r="E488"/>
  <c r="E244"/>
  <c r="E71"/>
  <c r="E137"/>
  <c r="E240"/>
  <c r="E301"/>
  <c r="E382"/>
  <c r="E318"/>
  <c r="E541"/>
  <c r="E565"/>
  <c r="E523"/>
  <c r="E380"/>
  <c r="E557"/>
  <c r="E503"/>
  <c r="E13"/>
  <c r="K19" i="6"/>
  <c r="K20"/>
  <c r="K23"/>
  <c r="M23"/>
  <c r="I23"/>
  <c r="S23"/>
  <c r="K25"/>
  <c r="M25"/>
  <c r="I25"/>
  <c r="S25"/>
  <c r="K21"/>
  <c r="K24"/>
  <c r="M24"/>
  <c r="I24"/>
  <c r="S24"/>
  <c r="E67" i="39"/>
  <c r="E62" i="40"/>
  <c r="E60"/>
  <c r="E65" i="39"/>
  <c r="E64"/>
  <c r="E59" i="40"/>
  <c r="E58"/>
  <c r="E63" i="39"/>
  <c r="E61" i="40"/>
  <c r="E66" i="39"/>
  <c r="E16" i="6"/>
  <c r="T9" i="46"/>
  <c r="V9"/>
  <c r="T13"/>
  <c r="V13"/>
  <c r="T16"/>
  <c r="V16"/>
  <c r="T8"/>
  <c r="V8"/>
  <c r="C38"/>
  <c r="G38"/>
  <c r="I38"/>
  <c r="T15"/>
  <c r="V15"/>
  <c r="T11"/>
  <c r="V11"/>
  <c r="T14"/>
  <c r="V14"/>
  <c r="T10"/>
  <c r="V10"/>
  <c r="C37"/>
  <c r="E37"/>
  <c r="C39"/>
  <c r="E39"/>
  <c r="A17" i="51"/>
  <c r="B13" i="63"/>
  <c r="A25" i="64"/>
  <c r="A25" i="51"/>
  <c r="B18" i="63"/>
  <c r="B38"/>
  <c r="A3" i="55"/>
  <c r="B56" i="63"/>
  <c r="G59" i="34"/>
  <c r="G33" i="46"/>
  <c r="I33"/>
  <c r="E33"/>
  <c r="E34"/>
  <c r="G34"/>
  <c r="I34"/>
  <c r="E36"/>
  <c r="G36"/>
  <c r="I36"/>
  <c r="E38"/>
  <c r="U7" i="33"/>
  <c r="AB7"/>
  <c r="T48"/>
  <c r="G48"/>
  <c r="AA7" i="37"/>
  <c r="R42"/>
  <c r="S7"/>
  <c r="AC7" i="36"/>
  <c r="V36"/>
  <c r="I36"/>
  <c r="W7"/>
  <c r="I67" i="40"/>
  <c r="J65"/>
  <c r="G35" i="46"/>
  <c r="I35"/>
  <c r="E35"/>
  <c r="W7" i="33"/>
  <c r="AC7"/>
  <c r="V48"/>
  <c r="I48"/>
  <c r="S7"/>
  <c r="AA7"/>
  <c r="R48"/>
  <c r="W7" i="37"/>
  <c r="AC7"/>
  <c r="V42"/>
  <c r="I42"/>
  <c r="AB7"/>
  <c r="T42"/>
  <c r="G42"/>
  <c r="U7"/>
  <c r="S7" i="36"/>
  <c r="AB7"/>
  <c r="T36"/>
  <c r="G36"/>
  <c r="U7"/>
  <c r="L47" i="44"/>
  <c r="F17" i="11"/>
  <c r="B40" i="1"/>
  <c r="F1" i="15"/>
  <c r="Q53"/>
  <c r="Q54" i="44"/>
  <c r="F1"/>
  <c r="F11" i="15"/>
  <c r="F13" i="44"/>
  <c r="C12"/>
  <c r="C7"/>
  <c r="M11" i="15"/>
  <c r="J10"/>
  <c r="J5"/>
  <c r="M13" i="44"/>
  <c r="J12"/>
  <c r="J7"/>
  <c r="Q63"/>
  <c r="Q76"/>
  <c r="Q62" i="15"/>
  <c r="Q75"/>
  <c r="C48"/>
  <c r="P17" i="46"/>
  <c r="N17"/>
  <c r="Q75" i="44"/>
  <c r="Q62"/>
  <c r="Q74" i="15"/>
  <c r="Q61"/>
  <c r="M29" i="70"/>
  <c r="AE8" i="1"/>
  <c r="F43" i="70"/>
  <c r="AE9" i="1"/>
  <c r="AE7"/>
  <c r="F7" i="70"/>
  <c r="F49"/>
  <c r="C48"/>
  <c r="M7"/>
  <c r="J6"/>
  <c r="J5"/>
  <c r="J24"/>
  <c r="C6"/>
  <c r="C10"/>
  <c r="C5"/>
  <c r="F70"/>
  <c r="C47"/>
  <c r="C60"/>
  <c r="J22" i="46"/>
  <c r="H22"/>
  <c r="AI11"/>
  <c r="AI13"/>
  <c r="Y11"/>
  <c r="Y13"/>
  <c r="AC11"/>
  <c r="AC13"/>
  <c r="H101"/>
  <c r="D101"/>
  <c r="G22"/>
  <c r="AJ11"/>
  <c r="AJ13"/>
  <c r="AH11"/>
  <c r="AH13"/>
  <c r="Z11"/>
  <c r="Z13"/>
  <c r="N101"/>
  <c r="Z7"/>
  <c r="F22"/>
  <c r="N104" i="45"/>
  <c r="J101" i="46"/>
  <c r="C101"/>
  <c r="AB11"/>
  <c r="AB13"/>
  <c r="AA11"/>
  <c r="AA13"/>
  <c r="AG11"/>
  <c r="AG13"/>
  <c r="E22"/>
  <c r="M101"/>
  <c r="I101"/>
  <c r="AE11"/>
  <c r="AE13"/>
  <c r="AF11"/>
  <c r="AF13"/>
  <c r="AD11"/>
  <c r="AD13"/>
  <c r="F101"/>
  <c r="K101"/>
  <c r="E101"/>
  <c r="L101"/>
  <c r="B113"/>
  <c r="G101"/>
  <c r="H13" i="39"/>
  <c r="F13"/>
  <c r="J13"/>
  <c r="M7" i="1"/>
  <c r="H16"/>
  <c r="G16"/>
  <c r="Q16"/>
  <c r="AP16"/>
  <c r="F22" i="11"/>
  <c r="K16" i="1"/>
  <c r="F24" i="69"/>
  <c r="C24"/>
  <c r="F24" i="70"/>
  <c r="C24"/>
  <c r="G39" i="46"/>
  <c r="I39"/>
  <c r="J26" i="70"/>
  <c r="C60" i="69"/>
  <c r="C59"/>
  <c r="C65"/>
  <c r="J24"/>
  <c r="J18"/>
  <c r="J26"/>
  <c r="C10"/>
  <c r="C5"/>
  <c r="W19" i="39"/>
  <c r="AC19"/>
  <c r="U19"/>
  <c r="AB19"/>
  <c r="G72"/>
  <c r="H70"/>
  <c r="G37" i="46"/>
  <c r="I37"/>
  <c r="M20" i="6"/>
  <c r="I20"/>
  <c r="S20"/>
  <c r="S7" i="1"/>
  <c r="M21" i="6"/>
  <c r="I21"/>
  <c r="S21"/>
  <c r="S8" i="1"/>
  <c r="M19" i="6"/>
  <c r="I19"/>
  <c r="S19"/>
  <c r="S6" i="1"/>
  <c r="M22" i="6"/>
  <c r="I22"/>
  <c r="S22"/>
  <c r="S9" i="1"/>
  <c r="AC6" i="3"/>
  <c r="K27" i="6"/>
  <c r="H6" i="3"/>
  <c r="E6"/>
  <c r="D16" i="12"/>
  <c r="E6" i="6"/>
  <c r="L38" i="9"/>
  <c r="B14" i="66"/>
  <c r="B1"/>
  <c r="D16" i="43"/>
  <c r="C16"/>
  <c r="C21" i="4"/>
  <c r="O5" i="54"/>
  <c r="B45" i="63"/>
  <c r="D10" i="11"/>
  <c r="D45" i="9"/>
  <c r="D4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549"/>
  <c r="AY69"/>
  <c r="AY88"/>
  <c r="AY26"/>
  <c r="AY129"/>
  <c r="AY529"/>
  <c r="AY104"/>
  <c r="AY145"/>
  <c r="AY259"/>
  <c r="AY248"/>
  <c r="AY368"/>
  <c r="AY472"/>
  <c r="AY409"/>
  <c r="AY96"/>
  <c r="AY171"/>
  <c r="AY233"/>
  <c r="AY365"/>
  <c r="AY329"/>
  <c r="AY471"/>
  <c r="AY131"/>
  <c r="AY138"/>
  <c r="AY206"/>
  <c r="AY316"/>
  <c r="AY520"/>
  <c r="AY29"/>
  <c r="AY249"/>
  <c r="AY283"/>
  <c r="AY367"/>
  <c r="AY561"/>
  <c r="AY453"/>
  <c r="AY446"/>
  <c r="AY166"/>
  <c r="AY162"/>
  <c r="AY225"/>
  <c r="AY380"/>
  <c r="AY413"/>
  <c r="AY22"/>
  <c r="AY184"/>
  <c r="AY211"/>
  <c r="AY319"/>
  <c r="AY562"/>
  <c r="BQ6"/>
  <c r="AY396"/>
  <c r="AY430"/>
  <c r="BT6"/>
  <c r="AY465"/>
  <c r="AY406"/>
  <c r="AY378"/>
  <c r="AY151"/>
  <c r="AY544"/>
  <c r="AY221"/>
  <c r="AY314"/>
  <c r="AY323"/>
  <c r="BH6"/>
  <c r="AY303"/>
  <c r="AY193"/>
  <c r="AY360"/>
  <c r="AY493"/>
  <c r="AY245"/>
  <c r="AY320"/>
  <c r="AY370"/>
  <c r="AY86"/>
  <c r="AY127"/>
  <c r="AY27"/>
  <c r="AY531"/>
  <c r="AY24"/>
  <c r="AY32"/>
  <c r="AY268"/>
  <c r="AY388"/>
  <c r="AY431"/>
  <c r="AY498"/>
  <c r="BN6"/>
  <c r="AY137"/>
  <c r="AY239"/>
  <c r="AY456"/>
  <c r="AY407"/>
  <c r="AY485"/>
  <c r="AY500"/>
  <c r="AY518"/>
  <c r="AY552"/>
  <c r="AY87"/>
  <c r="AY109"/>
  <c r="AY142"/>
  <c r="AY34"/>
  <c r="AY218"/>
  <c r="AY309"/>
  <c r="AY392"/>
  <c r="AY176"/>
  <c r="AY356"/>
  <c r="AY44"/>
  <c r="AY288"/>
  <c r="AY318"/>
  <c r="AY147"/>
  <c r="AY224"/>
  <c r="AY424"/>
  <c r="AY85"/>
  <c r="AY266"/>
  <c r="AY369"/>
  <c r="AY156"/>
  <c r="AY229"/>
  <c r="AY14"/>
  <c r="AY438"/>
  <c r="AY412"/>
  <c r="AY278"/>
  <c r="BC6"/>
  <c r="AY336"/>
  <c r="AY201"/>
  <c r="AY253"/>
  <c r="AY543"/>
  <c r="AY352"/>
  <c r="AY330"/>
  <c r="AY35"/>
  <c r="AY91"/>
  <c r="AY124"/>
  <c r="AY449"/>
  <c r="AY525"/>
  <c r="AY273"/>
  <c r="AY428"/>
  <c r="AY494"/>
  <c r="AY526"/>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AY530"/>
  <c r="AY97"/>
  <c r="AY198"/>
  <c r="AY77"/>
  <c r="AY158"/>
  <c r="AY290"/>
  <c r="AY443"/>
  <c r="AY46"/>
  <c r="AY219"/>
  <c r="AY569"/>
  <c r="AY148"/>
  <c r="AY371"/>
  <c r="BA6"/>
  <c r="AY254"/>
  <c r="AY341"/>
  <c r="AY394"/>
  <c r="AY197"/>
  <c r="AY359"/>
  <c r="AY76"/>
  <c r="AY282"/>
  <c r="AY321"/>
  <c r="AY437"/>
  <c r="AY555"/>
  <c r="AY429"/>
  <c r="AY188"/>
  <c r="AY442"/>
  <c r="AY143"/>
  <c r="AY43"/>
  <c r="AY157"/>
  <c r="AY572"/>
  <c r="AY308"/>
  <c r="AY501"/>
  <c r="AY528"/>
  <c r="AY99"/>
  <c r="AY236"/>
  <c r="AY481"/>
  <c r="AY516"/>
  <c r="AY207"/>
  <c r="BD6"/>
  <c r="AY510"/>
  <c r="AY567"/>
  <c r="AY566"/>
  <c r="AY40"/>
  <c r="AY48"/>
  <c r="AY276"/>
  <c r="AY212"/>
  <c r="AY401"/>
  <c r="AY19"/>
  <c r="AY538"/>
  <c r="AY488"/>
  <c r="AY281"/>
  <c r="AY215"/>
  <c r="AY436"/>
  <c r="BB6"/>
  <c r="AY495"/>
  <c r="AY513"/>
  <c r="AY534"/>
  <c r="AY568"/>
  <c r="AY322"/>
  <c r="AY61"/>
  <c r="AY113"/>
  <c r="AY251"/>
  <c r="AY267"/>
  <c r="AY347"/>
  <c r="AY557"/>
  <c r="AY451"/>
  <c r="AY395"/>
  <c r="AY23"/>
  <c r="AY192"/>
  <c r="AY296"/>
  <c r="AY363"/>
  <c r="AY345"/>
  <c r="AY478"/>
  <c r="AY54"/>
  <c r="AY189"/>
  <c r="AY237"/>
  <c r="AY387"/>
  <c r="AY353"/>
  <c r="AY545"/>
  <c r="AY470"/>
  <c r="AY418"/>
  <c r="AY460"/>
  <c r="AY393"/>
  <c r="AY173"/>
  <c r="AY410"/>
  <c r="AY338"/>
  <c r="AY339"/>
  <c r="AY119"/>
  <c r="AY434"/>
  <c r="AY312"/>
  <c r="BO6"/>
  <c r="AY59"/>
  <c r="AY56"/>
  <c r="AY284"/>
  <c r="AY433"/>
  <c r="AY533"/>
  <c r="AY289"/>
  <c r="AY444"/>
  <c r="AY490"/>
  <c r="AY522"/>
  <c r="AY512"/>
  <c r="AY79"/>
  <c r="AY547"/>
  <c r="AY89"/>
  <c r="AY93"/>
  <c r="AY134"/>
  <c r="AY210"/>
  <c r="AY306"/>
  <c r="AY313"/>
  <c r="AY419"/>
  <c r="AY455"/>
  <c r="AY102"/>
  <c r="AY130"/>
  <c r="AY261"/>
  <c r="AY297"/>
  <c r="AY33"/>
  <c r="AY125"/>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AY1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04"/>
  <c r="AY537"/>
  <c r="AY100"/>
  <c r="AY53"/>
  <c r="AY83"/>
  <c r="AY73"/>
  <c r="AY47"/>
  <c r="AY74"/>
  <c r="AY182"/>
  <c r="AY144"/>
  <c r="AY126"/>
  <c r="AY98"/>
  <c r="AY45"/>
  <c r="AY57"/>
  <c r="AY106"/>
  <c r="AY136"/>
  <c r="AY217"/>
  <c r="AY262"/>
  <c r="AY291"/>
  <c r="AY232"/>
  <c r="AY383"/>
  <c r="AY349"/>
  <c r="AY361"/>
  <c r="AY448"/>
  <c r="AY427"/>
  <c r="AY397"/>
  <c r="AY422"/>
  <c r="AY49"/>
  <c r="AY170"/>
  <c r="AY149"/>
  <c r="AY146"/>
  <c r="AY381"/>
  <c r="AY214"/>
  <c r="AY379"/>
  <c r="AY324"/>
  <c r="AY326"/>
  <c r="AY476"/>
  <c r="AY463"/>
  <c r="AY39"/>
  <c r="AY178"/>
  <c r="AY116"/>
  <c r="AY135"/>
  <c r="AY258"/>
  <c r="AY294"/>
  <c r="AY366"/>
  <c r="AY372"/>
  <c r="AY315"/>
  <c r="AY550"/>
  <c r="AY548"/>
  <c r="AY62"/>
  <c r="AY168"/>
  <c r="AY269"/>
  <c r="AY256"/>
  <c r="AY376"/>
  <c r="AY464"/>
  <c r="AY389"/>
  <c r="AY81"/>
  <c r="AY155"/>
  <c r="AY295"/>
  <c r="AY302"/>
  <c r="AY342"/>
  <c r="AY450"/>
  <c r="AY194"/>
  <c r="AY122"/>
  <c r="AY279"/>
  <c r="AY307"/>
  <c r="AY16"/>
  <c r="AY457"/>
  <c r="S5" i="46"/>
  <c r="T5"/>
  <c r="V5"/>
  <c r="S7"/>
  <c r="T7"/>
  <c r="V7"/>
  <c r="S6"/>
  <c r="T6"/>
  <c r="V6"/>
  <c r="S2"/>
  <c r="T2"/>
  <c r="V2"/>
  <c r="S3"/>
  <c r="T3"/>
  <c r="V3"/>
  <c r="S4"/>
  <c r="T4"/>
  <c r="V4"/>
  <c r="G52" i="33"/>
  <c r="H52"/>
  <c r="G53"/>
  <c r="H53"/>
  <c r="H59" i="34"/>
  <c r="I59"/>
  <c r="J59"/>
  <c r="K59"/>
  <c r="L59"/>
  <c r="M59"/>
  <c r="N59"/>
  <c r="O59"/>
  <c r="H7"/>
  <c r="I46" i="37"/>
  <c r="J46"/>
  <c r="R49" i="33"/>
  <c r="E48"/>
  <c r="I52"/>
  <c r="J52"/>
  <c r="I53"/>
  <c r="J53"/>
  <c r="J67" i="40"/>
  <c r="K65"/>
  <c r="G40" i="36"/>
  <c r="H40"/>
  <c r="G41"/>
  <c r="H41"/>
  <c r="E36"/>
  <c r="R37"/>
  <c r="G47" i="37"/>
  <c r="H47"/>
  <c r="G46"/>
  <c r="H46"/>
  <c r="I41" i="36"/>
  <c r="J41"/>
  <c r="I40"/>
  <c r="J40"/>
  <c r="E42" i="37"/>
  <c r="I47"/>
  <c r="J47"/>
  <c r="R43"/>
  <c r="F7" i="34"/>
  <c r="J20" i="44"/>
  <c r="J28"/>
  <c r="J31"/>
  <c r="J26"/>
  <c r="J18" i="15"/>
  <c r="J26"/>
  <c r="J24"/>
  <c r="F24"/>
  <c r="C24"/>
  <c r="F26" i="44"/>
  <c r="C26"/>
  <c r="F26" i="12"/>
  <c r="F21" i="43"/>
  <c r="C52" i="15"/>
  <c r="C47"/>
  <c r="C10"/>
  <c r="C5"/>
  <c r="C40" i="44"/>
  <c r="C34"/>
  <c r="C17" i="70"/>
  <c r="C17" i="69"/>
  <c r="C16" i="70"/>
  <c r="F41" i="69"/>
  <c r="L52" i="44"/>
  <c r="F41" i="70"/>
  <c r="C17" i="15"/>
  <c r="F41"/>
  <c r="J18" i="70"/>
  <c r="C59"/>
  <c r="C65"/>
  <c r="S27" i="6"/>
  <c r="M27"/>
  <c r="I27"/>
  <c r="J12" i="40"/>
  <c r="F12"/>
  <c r="J12" i="39"/>
  <c r="F12"/>
  <c r="H12"/>
  <c r="H12" i="40"/>
  <c r="O7" i="1"/>
  <c r="M16"/>
  <c r="S13" i="39"/>
  <c r="AA13"/>
  <c r="G104" i="46"/>
  <c r="G105"/>
  <c r="G102"/>
  <c r="G109"/>
  <c r="G103"/>
  <c r="G107"/>
  <c r="G106"/>
  <c r="L104"/>
  <c r="L105"/>
  <c r="L107"/>
  <c r="L106"/>
  <c r="L102"/>
  <c r="L103"/>
  <c r="L109"/>
  <c r="K105"/>
  <c r="K106"/>
  <c r="K104"/>
  <c r="K103"/>
  <c r="K102"/>
  <c r="K109"/>
  <c r="K107"/>
  <c r="M107"/>
  <c r="M109"/>
  <c r="M104"/>
  <c r="M105"/>
  <c r="M102"/>
  <c r="M103"/>
  <c r="M106"/>
  <c r="J104"/>
  <c r="J106"/>
  <c r="J103"/>
  <c r="J109"/>
  <c r="C23"/>
  <c r="D22"/>
  <c r="C21"/>
  <c r="J107"/>
  <c r="J105"/>
  <c r="J102"/>
  <c r="N109"/>
  <c r="N102"/>
  <c r="N103"/>
  <c r="N104"/>
  <c r="N105"/>
  <c r="N107"/>
  <c r="N106"/>
  <c r="H104"/>
  <c r="H102"/>
  <c r="H103"/>
  <c r="H105"/>
  <c r="H109"/>
  <c r="H107"/>
  <c r="H106"/>
  <c r="F18" i="11"/>
  <c r="F33" i="12"/>
  <c r="C34"/>
  <c r="D33"/>
  <c r="F24" i="43"/>
  <c r="C26"/>
  <c r="D24"/>
  <c r="W13" i="39"/>
  <c r="AC13"/>
  <c r="U13"/>
  <c r="AB13"/>
  <c r="I116" i="46"/>
  <c r="J116"/>
  <c r="K116"/>
  <c r="L116"/>
  <c r="M116"/>
  <c r="D115"/>
  <c r="E115"/>
  <c r="F115"/>
  <c r="G115"/>
  <c r="H115"/>
  <c r="B117"/>
  <c r="C117"/>
  <c r="D118"/>
  <c r="E118"/>
  <c r="F118"/>
  <c r="I117"/>
  <c r="J117"/>
  <c r="K117"/>
  <c r="L117"/>
  <c r="M117"/>
  <c r="B116"/>
  <c r="C116"/>
  <c r="D117"/>
  <c r="E117"/>
  <c r="F117"/>
  <c r="G117"/>
  <c r="H117"/>
  <c r="I118"/>
  <c r="J118"/>
  <c r="K118"/>
  <c r="L118"/>
  <c r="M118"/>
  <c r="I115"/>
  <c r="J115"/>
  <c r="K115"/>
  <c r="L115"/>
  <c r="M115"/>
  <c r="B118"/>
  <c r="C118"/>
  <c r="B115"/>
  <c r="C115"/>
  <c r="G118"/>
  <c r="H118"/>
  <c r="D116"/>
  <c r="E116"/>
  <c r="F116"/>
  <c r="G116"/>
  <c r="H116"/>
  <c r="E106"/>
  <c r="E109"/>
  <c r="E104"/>
  <c r="E105"/>
  <c r="E107"/>
  <c r="E102"/>
  <c r="E103"/>
  <c r="F102"/>
  <c r="F109"/>
  <c r="F105"/>
  <c r="F106"/>
  <c r="F104"/>
  <c r="F107"/>
  <c r="F103"/>
  <c r="I107"/>
  <c r="I106"/>
  <c r="I109"/>
  <c r="I105"/>
  <c r="I104"/>
  <c r="I102"/>
  <c r="I103"/>
  <c r="C104"/>
  <c r="C106"/>
  <c r="C102"/>
  <c r="C107"/>
  <c r="C109"/>
  <c r="C105"/>
  <c r="C103"/>
  <c r="D102"/>
  <c r="D107"/>
  <c r="D103"/>
  <c r="D104"/>
  <c r="D106"/>
  <c r="D105"/>
  <c r="D109"/>
  <c r="F68" i="15"/>
  <c r="F68" i="70"/>
  <c r="F68" i="69"/>
  <c r="J29" i="15"/>
  <c r="J29" i="69"/>
  <c r="J29" i="70"/>
  <c r="C38"/>
  <c r="C33"/>
  <c r="C32"/>
  <c r="C33" i="69"/>
  <c r="C32"/>
  <c r="C38"/>
  <c r="H72" i="39"/>
  <c r="I70"/>
  <c r="S16" i="1"/>
  <c r="T9"/>
  <c r="T8"/>
  <c r="E63" i="40"/>
  <c r="E68" i="39"/>
  <c r="C22" i="4"/>
  <c r="D10" i="6"/>
  <c r="D13"/>
  <c r="H21"/>
  <c r="H24"/>
  <c r="D6"/>
  <c r="D14"/>
  <c r="D8"/>
  <c r="H23"/>
  <c r="E45" i="9"/>
  <c r="F45"/>
  <c r="H19" i="6"/>
  <c r="K38" i="9"/>
  <c r="C14" i="66"/>
  <c r="B2"/>
  <c r="D11" i="6"/>
  <c r="D12"/>
  <c r="H20"/>
  <c r="H25"/>
  <c r="D9"/>
  <c r="D5"/>
  <c r="H22"/>
  <c r="D15"/>
  <c r="H26"/>
  <c r="E46" i="9"/>
  <c r="F46"/>
  <c r="D13" i="11"/>
  <c r="C13"/>
  <c r="C8" i="66"/>
  <c r="C7"/>
  <c r="D19" i="12"/>
  <c r="C19"/>
  <c r="C16"/>
  <c r="C36" i="36"/>
  <c r="C37"/>
  <c r="B3"/>
  <c r="B2"/>
  <c r="E52" i="33"/>
  <c r="F52"/>
  <c r="E53"/>
  <c r="F53"/>
  <c r="U7" i="34"/>
  <c r="AB7"/>
  <c r="T49"/>
  <c r="G49"/>
  <c r="E46" i="37"/>
  <c r="F46"/>
  <c r="E47"/>
  <c r="F47"/>
  <c r="S7" i="34"/>
  <c r="AA7"/>
  <c r="R49"/>
  <c r="C42" i="37"/>
  <c r="C43"/>
  <c r="B3"/>
  <c r="B2"/>
  <c r="E41" i="36"/>
  <c r="F41"/>
  <c r="E40"/>
  <c r="F40"/>
  <c r="K67" i="40"/>
  <c r="L65"/>
  <c r="C49" i="33"/>
  <c r="B3"/>
  <c r="B2"/>
  <c r="C48"/>
  <c r="J7" i="34"/>
  <c r="Q69" i="44"/>
  <c r="L58"/>
  <c r="L61"/>
  <c r="C59" i="15"/>
  <c r="C65"/>
  <c r="C27" i="12"/>
  <c r="D26"/>
  <c r="C32"/>
  <c r="D30"/>
  <c r="C23" i="43"/>
  <c r="D21"/>
  <c r="Q67" i="44"/>
  <c r="Q49"/>
  <c r="Q55"/>
  <c r="Q58"/>
  <c r="C32" i="15"/>
  <c r="C38"/>
  <c r="C14" i="69"/>
  <c r="T7" i="1"/>
  <c r="T6"/>
  <c r="C29" i="46"/>
  <c r="N16" i="1"/>
  <c r="C29" i="43"/>
  <c r="C13"/>
  <c r="L16" i="1"/>
  <c r="U12" i="40"/>
  <c r="AB12"/>
  <c r="AA12" i="39"/>
  <c r="S12"/>
  <c r="AA12" i="40"/>
  <c r="S12"/>
  <c r="D113" i="46"/>
  <c r="P7" i="1"/>
  <c r="P16"/>
  <c r="C13" i="12"/>
  <c r="O16" i="1"/>
  <c r="U12" i="39"/>
  <c r="AB12"/>
  <c r="W12"/>
  <c r="AC12"/>
  <c r="AC12" i="40"/>
  <c r="W12"/>
  <c r="C18" i="69"/>
  <c r="C15"/>
  <c r="I72" i="39"/>
  <c r="J70"/>
  <c r="H27" i="6"/>
  <c r="T12" i="1"/>
  <c r="T13"/>
  <c r="T11"/>
  <c r="T10"/>
  <c r="R24" i="6"/>
  <c r="D16"/>
  <c r="R23"/>
  <c r="R22"/>
  <c r="R9" i="1"/>
  <c r="R26" i="6"/>
  <c r="D8" i="66"/>
  <c r="D7"/>
  <c r="R20" i="6"/>
  <c r="R7" i="1"/>
  <c r="R21" i="6"/>
  <c r="R8" i="1"/>
  <c r="A6" i="51"/>
  <c r="B7" i="63"/>
  <c r="A6" i="64"/>
  <c r="A20"/>
  <c r="A20" i="51"/>
  <c r="B15" i="63"/>
  <c r="N5" i="54"/>
  <c r="B43" i="63"/>
  <c r="R25" i="6"/>
  <c r="R19"/>
  <c r="W7" i="34"/>
  <c r="AC7"/>
  <c r="V49"/>
  <c r="I49"/>
  <c r="G54"/>
  <c r="H54"/>
  <c r="M65" i="40"/>
  <c r="L67"/>
  <c r="R50" i="34"/>
  <c r="E49"/>
  <c r="G53"/>
  <c r="H53"/>
  <c r="Q59" i="44"/>
  <c r="Q64"/>
  <c r="Q68"/>
  <c r="Q77"/>
  <c r="C16"/>
  <c r="C14" i="15"/>
  <c r="F35" i="69"/>
  <c r="F35" i="70"/>
  <c r="M21"/>
  <c r="M21" i="69"/>
  <c r="C14" i="70"/>
  <c r="F35" i="15"/>
  <c r="M21"/>
  <c r="C34" i="70"/>
  <c r="C31"/>
  <c r="F62"/>
  <c r="C61"/>
  <c r="C58"/>
  <c r="J20"/>
  <c r="J20" i="69"/>
  <c r="C34"/>
  <c r="C31"/>
  <c r="F62"/>
  <c r="C61"/>
  <c r="C58"/>
  <c r="C18" i="70"/>
  <c r="C15"/>
  <c r="C34" i="15"/>
  <c r="F62"/>
  <c r="C61"/>
  <c r="J20"/>
  <c r="C14" i="43"/>
  <c r="C17"/>
  <c r="C30" i="46"/>
  <c r="E30"/>
  <c r="C27"/>
  <c r="E29"/>
  <c r="C17" i="12"/>
  <c r="C14"/>
  <c r="C19" i="69"/>
  <c r="C20"/>
  <c r="C23"/>
  <c r="J72" i="39"/>
  <c r="K70"/>
  <c r="T16" i="1"/>
  <c r="C20" i="44"/>
  <c r="C17"/>
  <c r="C15" i="15"/>
  <c r="C18"/>
  <c r="R27" i="6"/>
  <c r="R6" i="1"/>
  <c r="R16"/>
  <c r="I5" i="6"/>
  <c r="E54" i="34"/>
  <c r="F54"/>
  <c r="E53"/>
  <c r="F53"/>
  <c r="C50"/>
  <c r="B3"/>
  <c r="B2"/>
  <c r="C49"/>
  <c r="M67" i="40"/>
  <c r="N65"/>
  <c r="N67"/>
  <c r="J9"/>
  <c r="I53" i="34"/>
  <c r="J53"/>
  <c r="I54"/>
  <c r="J54"/>
  <c r="F7" i="67"/>
  <c r="C18" i="43"/>
  <c r="C18" i="12"/>
  <c r="C19" i="70"/>
  <c r="C20"/>
  <c r="C26"/>
  <c r="E4" i="67"/>
  <c r="C19" i="43"/>
  <c r="C25"/>
  <c r="C24"/>
  <c r="C26" i="46"/>
  <c r="C26" i="69"/>
  <c r="C29"/>
  <c r="L70" i="39"/>
  <c r="K72"/>
  <c r="C21" i="44"/>
  <c r="C22"/>
  <c r="C28"/>
  <c r="C19" i="15"/>
  <c r="C20"/>
  <c r="C26"/>
  <c r="H9" i="40"/>
  <c r="F9"/>
  <c r="AC9"/>
  <c r="V44"/>
  <c r="I44"/>
  <c r="W9"/>
  <c r="E7" i="67"/>
  <c r="C23" i="70"/>
  <c r="C29"/>
  <c r="J14"/>
  <c r="C22" i="43"/>
  <c r="C21"/>
  <c r="C28"/>
  <c r="C30"/>
  <c r="C32"/>
  <c r="B2"/>
  <c r="B5"/>
  <c r="E3" i="67"/>
  <c r="B2" i="46"/>
  <c r="Q50" i="69"/>
  <c r="C36"/>
  <c r="J19"/>
  <c r="J17"/>
  <c r="C56"/>
  <c r="C63"/>
  <c r="C13"/>
  <c r="J14"/>
  <c r="L72" i="39"/>
  <c r="M70"/>
  <c r="C25" i="44"/>
  <c r="C31"/>
  <c r="C35"/>
  <c r="C33"/>
  <c r="C23" i="15"/>
  <c r="C29"/>
  <c r="I48" i="40"/>
  <c r="J48"/>
  <c r="AA9"/>
  <c r="R44"/>
  <c r="S9"/>
  <c r="AB9"/>
  <c r="T44"/>
  <c r="G44"/>
  <c r="U9"/>
  <c r="B7" i="67"/>
  <c r="Q50" i="70"/>
  <c r="C13"/>
  <c r="J35"/>
  <c r="C56"/>
  <c r="C63"/>
  <c r="J19"/>
  <c r="J17"/>
  <c r="C36"/>
  <c r="B4" i="43"/>
  <c r="B3"/>
  <c r="B2" i="67"/>
  <c r="D4" i="46"/>
  <c r="B4"/>
  <c r="B3"/>
  <c r="C37" i="69"/>
  <c r="C30"/>
  <c r="C39"/>
  <c r="Q71"/>
  <c r="J35"/>
  <c r="C55"/>
  <c r="C64"/>
  <c r="C57"/>
  <c r="C66"/>
  <c r="C67"/>
  <c r="C37" i="70"/>
  <c r="J22" i="69"/>
  <c r="J13"/>
  <c r="J23"/>
  <c r="J13" i="70"/>
  <c r="J23"/>
  <c r="J22"/>
  <c r="N70" i="39"/>
  <c r="N72"/>
  <c r="M72"/>
  <c r="J9"/>
  <c r="H9"/>
  <c r="F9"/>
  <c r="J16" i="44"/>
  <c r="J15"/>
  <c r="J25"/>
  <c r="C38"/>
  <c r="J21"/>
  <c r="J19"/>
  <c r="Q51"/>
  <c r="C15"/>
  <c r="Q72"/>
  <c r="J14" i="15"/>
  <c r="C36"/>
  <c r="Q50"/>
  <c r="C13"/>
  <c r="C33"/>
  <c r="C31"/>
  <c r="J59"/>
  <c r="J60"/>
  <c r="C56"/>
  <c r="J19"/>
  <c r="J17"/>
  <c r="G48" i="40"/>
  <c r="H48"/>
  <c r="G49"/>
  <c r="H49"/>
  <c r="E44"/>
  <c r="R45"/>
  <c r="L51" i="69"/>
  <c r="Q71" i="70"/>
  <c r="C55"/>
  <c r="C64"/>
  <c r="C57"/>
  <c r="C66"/>
  <c r="C67"/>
  <c r="C70"/>
  <c r="C30"/>
  <c r="C39"/>
  <c r="C40"/>
  <c r="B3" i="67"/>
  <c r="B4"/>
  <c r="J16" i="70"/>
  <c r="J25"/>
  <c r="Q68" i="69"/>
  <c r="C40"/>
  <c r="C46"/>
  <c r="Q70"/>
  <c r="Q69"/>
  <c r="J39"/>
  <c r="J40"/>
  <c r="J16"/>
  <c r="J25"/>
  <c r="C70"/>
  <c r="U9" i="39"/>
  <c r="AB9"/>
  <c r="T49"/>
  <c r="G49"/>
  <c r="AA9"/>
  <c r="R49"/>
  <c r="S9"/>
  <c r="AC9"/>
  <c r="V49"/>
  <c r="I49"/>
  <c r="I53"/>
  <c r="J53"/>
  <c r="W9"/>
  <c r="J24" i="44"/>
  <c r="J18"/>
  <c r="J27"/>
  <c r="C39"/>
  <c r="C32"/>
  <c r="C42"/>
  <c r="Q71"/>
  <c r="Q70"/>
  <c r="C43"/>
  <c r="J13" i="15"/>
  <c r="J23"/>
  <c r="J22"/>
  <c r="Q49"/>
  <c r="L46"/>
  <c r="Q71"/>
  <c r="C37"/>
  <c r="C30"/>
  <c r="C39"/>
  <c r="C55"/>
  <c r="C64"/>
  <c r="J35"/>
  <c r="C63"/>
  <c r="C60"/>
  <c r="C58"/>
  <c r="S7" i="35"/>
  <c r="I38"/>
  <c r="W7"/>
  <c r="C45" i="40"/>
  <c r="C44"/>
  <c r="E48"/>
  <c r="F48"/>
  <c r="E49"/>
  <c r="F49"/>
  <c r="I49"/>
  <c r="J49"/>
  <c r="G38" i="35"/>
  <c r="U7"/>
  <c r="L51" i="70"/>
  <c r="L51" i="15"/>
  <c r="J39" i="70"/>
  <c r="J40"/>
  <c r="Q70"/>
  <c r="Q69"/>
  <c r="Q68"/>
  <c r="Q57"/>
  <c r="Q63"/>
  <c r="Q48"/>
  <c r="Q54"/>
  <c r="Q66"/>
  <c r="Q76"/>
  <c r="C43"/>
  <c r="B2"/>
  <c r="J42"/>
  <c r="J43"/>
  <c r="Q57" i="69"/>
  <c r="Q63"/>
  <c r="Q66"/>
  <c r="Q76"/>
  <c r="B2"/>
  <c r="Q48"/>
  <c r="Q54"/>
  <c r="C43"/>
  <c r="J42"/>
  <c r="J43"/>
  <c r="C46" i="70"/>
  <c r="R50" i="39"/>
  <c r="E49"/>
  <c r="G54"/>
  <c r="H54"/>
  <c r="G53"/>
  <c r="H53"/>
  <c r="C44" i="44"/>
  <c r="C45"/>
  <c r="B2"/>
  <c r="B3"/>
  <c r="J16" i="15"/>
  <c r="J25"/>
  <c r="Q68"/>
  <c r="L57"/>
  <c r="L60"/>
  <c r="C57"/>
  <c r="C66"/>
  <c r="C67"/>
  <c r="Q70"/>
  <c r="Q69"/>
  <c r="C40"/>
  <c r="J39"/>
  <c r="J40"/>
  <c r="B55" i="40"/>
  <c r="F55"/>
  <c r="B61"/>
  <c r="F61"/>
  <c r="B57"/>
  <c r="F57"/>
  <c r="B54"/>
  <c r="F54"/>
  <c r="B60"/>
  <c r="F60"/>
  <c r="B53"/>
  <c r="F53"/>
  <c r="B59"/>
  <c r="F59"/>
  <c r="B56"/>
  <c r="F56"/>
  <c r="B62"/>
  <c r="F62"/>
  <c r="B58"/>
  <c r="F58"/>
  <c r="F63"/>
  <c r="B2"/>
  <c r="G42" i="35"/>
  <c r="H42"/>
  <c r="G43"/>
  <c r="H43"/>
  <c r="I42"/>
  <c r="J42"/>
  <c r="E38"/>
  <c r="I43"/>
  <c r="J43"/>
  <c r="B3" i="69"/>
  <c r="D10" i="12"/>
  <c r="B3" i="70"/>
  <c r="D8" i="12"/>
  <c r="C49" i="39"/>
  <c r="C50"/>
  <c r="I54"/>
  <c r="J54"/>
  <c r="E53"/>
  <c r="F53"/>
  <c r="E54"/>
  <c r="F54"/>
  <c r="B5" i="44"/>
  <c r="B4"/>
  <c r="C70" i="15"/>
  <c r="C46"/>
  <c r="Q48"/>
  <c r="Q54"/>
  <c r="C43"/>
  <c r="Q66"/>
  <c r="Q57"/>
  <c r="B2"/>
  <c r="J42"/>
  <c r="J43"/>
  <c r="Q58"/>
  <c r="Q67"/>
  <c r="B3" i="40"/>
  <c r="B5"/>
  <c r="B4"/>
  <c r="C38" i="35"/>
  <c r="E43"/>
  <c r="F43"/>
  <c r="E42"/>
  <c r="F42"/>
  <c r="B3" i="15"/>
  <c r="E8" i="12"/>
  <c r="E10"/>
  <c r="C6"/>
  <c r="B64" i="39"/>
  <c r="F64"/>
  <c r="B65"/>
  <c r="F65"/>
  <c r="B58"/>
  <c r="F58"/>
  <c r="B62"/>
  <c r="F62"/>
  <c r="B67"/>
  <c r="F67"/>
  <c r="B66"/>
  <c r="F66"/>
  <c r="B61"/>
  <c r="F61"/>
  <c r="B59"/>
  <c r="F59"/>
  <c r="B63"/>
  <c r="F63"/>
  <c r="B60"/>
  <c r="F60"/>
  <c r="Q76" i="15"/>
  <c r="Q63"/>
  <c r="C24" i="12"/>
  <c r="C29"/>
  <c r="F68" i="39"/>
  <c r="B2"/>
  <c r="D19" i="9"/>
  <c r="L44"/>
  <c r="B4" i="39"/>
  <c r="B5"/>
  <c r="B3"/>
  <c r="D21" i="9"/>
  <c r="D20"/>
  <c r="C11" i="11"/>
  <c r="C10"/>
  <c r="C17"/>
  <c r="C18"/>
  <c r="C19"/>
  <c r="C20"/>
  <c r="C21"/>
  <c r="C22"/>
  <c r="C23"/>
  <c r="B2"/>
  <c r="B5"/>
  <c r="B3"/>
  <c r="B4"/>
  <c r="C20" i="12"/>
  <c r="C23"/>
  <c r="C35"/>
  <c r="C33"/>
  <c r="C28"/>
  <c r="C26"/>
  <c r="C31"/>
  <c r="C30"/>
  <c r="C36"/>
  <c r="B2"/>
  <c r="C19" i="9"/>
  <c r="D22"/>
  <c r="L43"/>
  <c r="B5" i="12"/>
  <c r="B4"/>
  <c r="C21" i="9"/>
  <c r="G21"/>
  <c r="B3" i="12"/>
  <c r="C20" i="9"/>
  <c r="G20"/>
  <c r="G19"/>
  <c r="N43"/>
  <c r="G22"/>
  <c r="C32"/>
  <c r="C35"/>
  <c r="F42"/>
  <c r="O43"/>
  <c r="O38"/>
  <c r="K25"/>
  <c r="K26"/>
  <c r="C34"/>
  <c r="M38"/>
  <c r="K27"/>
  <c r="C33"/>
  <c r="N38"/>
  <c r="K28"/>
  <c r="C42"/>
  <c r="N68"/>
  <c r="E42"/>
  <c r="P5" i="54"/>
  <c r="B46" i="63"/>
  <c r="R5" i="54"/>
  <c r="B48" i="63"/>
  <c r="D42" i="9"/>
  <c r="Q5" i="54"/>
  <c r="B47" i="63"/>
  <c r="D63" i="9"/>
  <c r="C111"/>
  <c r="C104"/>
  <c r="D77"/>
  <c r="N75"/>
  <c r="C82"/>
  <c r="C81"/>
  <c r="C85"/>
  <c r="C86"/>
  <c r="D72"/>
  <c r="D70"/>
  <c r="C96"/>
  <c r="C91"/>
  <c r="D14" i="66"/>
  <c r="F14"/>
  <c r="E14"/>
  <c r="C44" i="9"/>
  <c r="E44"/>
  <c r="D44"/>
  <c r="F44"/>
  <c r="B5" i="66"/>
  <c r="C5"/>
  <c r="D5"/>
  <c r="O39" i="9"/>
  <c r="K29"/>
  <c r="K30"/>
  <c r="N69"/>
  <c r="M84"/>
  <c r="N84"/>
  <c r="M87"/>
  <c r="N87"/>
  <c r="M88"/>
  <c r="N88"/>
  <c r="M85"/>
  <c r="N85"/>
  <c r="M86"/>
  <c r="N86"/>
  <c r="G14" i="66"/>
  <c r="B6"/>
  <c r="C6"/>
  <c r="D6"/>
  <c r="C103" i="9"/>
  <c r="C113"/>
  <c r="C114"/>
  <c r="E114"/>
  <c r="E115"/>
  <c r="R6" i="54"/>
  <c r="B50" i="63"/>
  <c r="C115" i="9"/>
  <c r="D76"/>
  <c r="D74"/>
  <c r="N74"/>
  <c r="D71"/>
  <c r="D66"/>
  <c r="N72"/>
  <c r="O77"/>
  <c r="O78"/>
  <c r="M83"/>
  <c r="N83"/>
  <c r="N89"/>
  <c r="O89"/>
  <c r="C90"/>
  <c r="C97"/>
  <c r="C98"/>
  <c r="E98"/>
  <c r="E99"/>
  <c r="O79"/>
  <c r="O80"/>
  <c r="Q77"/>
  <c r="C99"/>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<sst xmlns="http://schemas.openxmlformats.org/spreadsheetml/2006/main" count="8354" uniqueCount="3211">
  <si>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</si>
  <si>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</si>
  <si>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</si>
  <si>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</si>
  <si>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</si>
  <si>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</si>
  <si>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</si>
  <si>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</si>
  <si>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</si>
  <si>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</si>
  <si>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</si>
  <si>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</si>
  <si>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</si>
  <si>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</si>
  <si>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</si>
  <si>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</si>
  <si>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</si>
  <si>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</si>
  <si>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</si>
  <si>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</si>
  <si>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</si>
  <si>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</si>
  <si>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</si>
  <si>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</si>
  <si>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</si>
  <si>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</si>
  <si>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</si>
  <si>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</si>
  <si>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</si>
  <si>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</si>
  <si>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</si>
  <si>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</si>
  <si>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</si>
  <si>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</si>
  <si>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</si>
  <si>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</si>
  <si>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</si>
  <si>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</si>
  <si>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</si>
  <si>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</si>
  <si>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</si>
  <si>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</si>
  <si>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</si>
  <si>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</si>
  <si>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</si>
  <si>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</si>
  <si>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</si>
  <si>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</si>
  <si>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</si>
  <si>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</si>
  <si>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</si>
  <si>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</si>
  <si>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</si>
  <si>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</si>
  <si>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</si>
  <si>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</si>
  <si>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</si>
  <si>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</si>
  <si>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</si>
  <si>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</si>
  <si>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</si>
  <si>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</si>
  <si>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</si>
  <si>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</si>
  <si>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</si>
  <si>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</si>
  <si>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</si>
  <si>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</si>
  <si>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</si>
  <si>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</si>
  <si>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</si>
  <si>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</si>
  <si>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</si>
  <si>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</si>
  <si>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</si>
  <si>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</si>
  <si>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</si>
  <si>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</si>
  <si>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</si>
  <si>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</si>
  <si>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</si>
  <si>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</si>
  <si>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</si>
  <si>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</si>
  <si>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</si>
  <si>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</si>
  <si>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</si>
  <si>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</si>
  <si>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</si>
  <si>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</si>
  <si>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</si>
  <si>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</si>
  <si>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</si>
  <si>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</si>
  <si>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</si>
  <si>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</si>
  <si>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</si>
  <si>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</si>
  <si>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</si>
  <si>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</si>
  <si>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</si>
  <si>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</si>
  <si>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</si>
  <si>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</si>
  <si>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</si>
  <si>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</si>
  <si>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</si>
  <si>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</si>
  <si>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</si>
  <si>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</si>
  <si>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</si>
  <si>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</si>
  <si>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</si>
  <si>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</si>
  <si>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</si>
  <si>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</si>
  <si>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</si>
  <si>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</si>
  <si>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</si>
  <si>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</si>
  <si>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</si>
  <si>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</si>
  <si>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</si>
  <si>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</si>
  <si>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</si>
  <si>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</si>
  <si>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</si>
  <si>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</si>
  <si>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</si>
  <si>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</si>
  <si>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</si>
  <si>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</si>
  <si>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</si>
  <si>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</si>
  <si>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</si>
  <si>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</si>
  <si>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</si>
  <si>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</si>
  <si>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</si>
  <si>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</si>
  <si>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</si>
  <si>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</si>
  <si>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</si>
  <si>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</si>
  <si>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</si>
  <si>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</si>
  <si>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</si>
  <si>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</si>
  <si>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</si>
  <si>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</si>
  <si>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</si>
  <si>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</si>
  <si>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</si>
  <si>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</si>
  <si>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</si>
  <si>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</si>
  <si>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</si>
  <si>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</si>
  <si>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</si>
  <si>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</si>
  <si>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</si>
  <si>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</si>
  <si>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</si>
  <si>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</si>
  <si>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</si>
  <si>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</si>
  <si>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</si>
  <si>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</si>
  <si>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</si>
  <si>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</si>
  <si>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</si>
  <si>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</si>
  <si>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</si>
  <si>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</si>
  <si>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</si>
  <si>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</si>
  <si>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</si>
  <si>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</si>
  <si>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</si>
  <si>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</si>
  <si>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</si>
  <si>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</si>
  <si>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</si>
  <si>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</si>
  <si>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</si>
  <si>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</si>
  <si>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</si>
  <si>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</si>
  <si>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</si>
  <si>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</si>
  <si>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</si>
  <si>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</si>
  <si>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</si>
  <si>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</si>
  <si>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</si>
  <si>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</si>
  <si>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</si>
  <si>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</si>
  <si>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</si>
  <si>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</si>
  <si>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</si>
  <si>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</si>
  <si>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</si>
  <si>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</si>
  <si>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</si>
  <si>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</si>
  <si>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</si>
  <si>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</si>
  <si>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</si>
  <si>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</si>
  <si>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</si>
  <si>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</si>
  <si>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</si>
  <si>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</si>
  <si>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</si>
  <si>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</si>
  <si>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</si>
  <si>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</si>
  <si>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</si>
  <si>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</si>
  <si>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</si>
  <si>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</si>
  <si>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</si>
  <si>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</si>
  <si>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</si>
  <si>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</si>
  <si>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</si>
  <si>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</si>
  <si>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</si>
  <si>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</si>
  <si>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</si>
  <si>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</si>
  <si>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</si>
  <si>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</si>
  <si>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</si>
  <si>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</si>
  <si>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</si>
  <si>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</si>
  <si>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</si>
  <si>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</si>
  <si>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</si>
  <si>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</si>
  <si>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</si>
  <si>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</si>
  <si>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</si>
  <si>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</si>
  <si>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</si>
  <si>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</si>
  <si>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</si>
  <si>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</si>
  <si>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</si>
  <si>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</si>
  <si>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</si>
  <si>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</si>
  <si>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</si>
  <si>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</si>
  <si>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</si>
  <si>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</si>
  <si>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</si>
  <si>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</si>
  <si>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</si>
  <si>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</si>
  <si>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</si>
  <si>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</si>
  <si>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</si>
  <si>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</si>
  <si>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</si>
  <si>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</si>
  <si>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</si>
  <si>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</si>
  <si>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</si>
  <si>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</si>
  <si>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</si>
  <si>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</si>
  <si>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</si>
  <si>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</si>
  <si>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</si>
  <si>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</si>
  <si>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</si>
  <si>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</si>
  <si>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</si>
  <si>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</si>
  <si>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</si>
  <si>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</si>
  <si>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</si>
  <si>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</si>
  <si>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</si>
  <si>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</si>
  <si>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</si>
  <si>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</si>
  <si>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</si>
  <si>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</si>
  <si>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</si>
  <si>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</si>
  <si>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</si>
  <si>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</si>
  <si>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</si>
  <si>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</si>
  <si>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</si>
  <si>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</si>
  <si>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</si>
  <si>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</si>
  <si>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</si>
  <si>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</si>
  <si>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</si>
  <si>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</si>
  <si>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</si>
  <si>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</si>
  <si>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</si>
  <si>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</si>
  <si>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</si>
  <si>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</si>
  <si>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</si>
  <si>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</si>
  <si>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</si>
  <si>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</si>
  <si>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</si>
  <si>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</si>
  <si>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</si>
  <si>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</si>
  <si>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</si>
  <si>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</si>
  <si>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</si>
  <si>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</si>
  <si>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</si>
  <si>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</si>
  <si>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</si>
  <si>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</si>
  <si>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</si>
  <si>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</si>
  <si>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</si>
  <si>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</si>
  <si>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</si>
  <si>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</si>
  <si>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</si>
  <si>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</si>
  <si>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</si>
  <si>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</si>
  <si>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</si>
  <si>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</si>
  <si>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</si>
  <si>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</si>
  <si>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</si>
  <si>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</si>
  <si>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</si>
  <si>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</si>
  <si>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</si>
  <si>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</si>
  <si>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</si>
  <si>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</si>
  <si>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</si>
  <si>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</si>
  <si>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</si>
  <si>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</si>
  <si>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</si>
  <si>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</si>
  <si>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</si>
  <si>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</si>
  <si>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</si>
  <si>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</si>
  <si>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</si>
  <si>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</si>
  <si>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</si>
  <si>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</si>
  <si>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</si>
  <si>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</si>
  <si>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</si>
  <si>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</si>
  <si>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</si>
  <si>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</si>
  <si>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</si>
  <si>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</si>
  <si>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</si>
  <si>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</si>
  <si>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</si>
  <si>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</si>
  <si>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</si>
  <si>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</si>
  <si>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</si>
  <si>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</si>
  <si>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</si>
  <si>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</si>
  <si>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</si>
  <si>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</si>
  <si>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</si>
  <si>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</si>
  <si>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</si>
  <si>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</si>
  <si>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</si>
  <si>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</si>
  <si>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</si>
  <si>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</si>
  <si>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</si>
  <si>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</si>
  <si>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</si>
  <si>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</si>
  <si>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</si>
  <si>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</si>
  <si>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</si>
  <si>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</si>
  <si>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</si>
  <si>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</si>
  <si>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</si>
  <si>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</si>
  <si>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</si>
  <si>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</si>
  <si>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</si>
  <si>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</si>
  <si>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</si>
  <si>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</si>
  <si>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</si>
  <si>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</si>
  <si>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</si>
  <si>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</si>
  <si>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</si>
  <si>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</si>
  <si>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</si>
  <si>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</si>
  <si>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</si>
  <si>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</si>
  <si>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</si>
  <si>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</si>
  <si>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</si>
  <si>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</si>
  <si>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</si>
  <si>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</si>
  <si>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</si>
  <si>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</si>
  <si>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</si>
  <si>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</si>
  <si>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</si>
  <si>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</si>
  <si>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</si>
  <si>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</si>
  <si>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</si>
  <si>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</si>
  <si>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</si>
  <si>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</si>
  <si>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</si>
  <si>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</si>
  <si>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</si>
  <si>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</si>
  <si>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</si>
  <si>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</si>
  <si>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</si>
  <si>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</si>
  <si>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</si>
  <si>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</si>
  <si>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</si>
  <si>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</si>
  <si>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</si>
  <si>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</si>
  <si>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</si>
  <si>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</si>
  <si>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</si>
  <si>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</si>
  <si>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</si>
  <si>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</si>
  <si>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</si>
  <si>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</si>
  <si>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</si>
  <si>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</si>
  <si>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</si>
  <si>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</si>
  <si>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</si>
  <si>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</si>
  <si>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</si>
  <si>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</si>
  <si>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</si>
  <si>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</si>
  <si>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</si>
  <si>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</si>
  <si>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</si>
  <si>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</si>
  <si>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</si>
  <si>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</si>
  <si>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</si>
  <si>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</si>
  <si>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</si>
  <si>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</si>
  <si>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</si>
  <si>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</si>
  <si>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</si>
  <si>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</si>
  <si>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</si>
  <si>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</si>
  <si>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</si>
  <si>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</si>
  <si>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</si>
  <si>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</si>
  <si>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</si>
  <si>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</si>
  <si>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</si>
  <si>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</si>
  <si>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</si>
  <si>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</si>
  <si>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</si>
  <si>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</si>
  <si>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</si>
  <si>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</si>
  <si>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</si>
  <si>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</si>
  <si>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</si>
  <si>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</si>
  <si>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</si>
  <si>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</si>
  <si>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</si>
  <si>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</si>
  <si>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</si>
  <si>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</si>
  <si>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</si>
  <si>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</si>
  <si>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</si>
  <si>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</si>
  <si>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</si>
  <si>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</si>
  <si>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</si>
  <si>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</si>
  <si>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</si>
  <si>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</si>
  <si>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</si>
  <si>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</si>
  <si>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</si>
  <si>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</si>
  <si>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</si>
  <si>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</si>
  <si>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</si>
  <si>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</si>
  <si>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</si>
  <si>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</si>
  <si>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</si>
  <si>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</si>
  <si>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</si>
  <si>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</si>
  <si>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</si>
  <si>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</si>
  <si>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</si>
  <si>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</si>
  <si>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</si>
  <si>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</si>
  <si>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</si>
  <si>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</si>
  <si>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</si>
  <si>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</si>
  <si>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</si>
  <si>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</si>
  <si>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</si>
  <si>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</si>
  <si>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</si>
  <si>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</si>
  <si>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</si>
  <si>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</si>
  <si>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</si>
  <si>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</si>
  <si>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</si>
  <si>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</si>
  <si>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</si>
  <si>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</si>
  <si>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</si>
  <si>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</si>
  <si>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</si>
  <si>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</si>
  <si>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</si>
  <si>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</si>
  <si>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</si>
  <si>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</si>
  <si>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</si>
  <si>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</si>
  <si>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</si>
  <si>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</si>
  <si>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</si>
  <si>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</si>
  <si>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</si>
  <si>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</si>
  <si>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</si>
  <si>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</si>
  <si>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</si>
  <si>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</si>
  <si>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</si>
  <si>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</si>
  <si>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</si>
  <si>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</si>
  <si>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</si>
  <si>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</si>
  <si>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</si>
  <si>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</si>
  <si>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</si>
  <si>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</si>
  <si>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</si>
  <si>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</si>
  <si>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</si>
  <si>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</si>
  <si>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</si>
  <si>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</si>
  <si>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</si>
  <si>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</si>
  <si>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</si>
  <si>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</si>
  <si>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</si>
  <si>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</si>
  <si>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</si>
  <si>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</si>
  <si>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</si>
  <si>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</si>
  <si>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</si>
  <si>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</si>
  <si>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</si>
  <si>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</si>
  <si>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</si>
  <si>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</si>
  <si>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</si>
  <si>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</si>
  <si>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</si>
  <si>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</si>
  <si>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</si>
  <si>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</si>
  <si>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</si>
  <si>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</si>
  <si>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</si>
  <si>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</si>
  <si>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</si>
  <si>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</si>
  <si>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</si>
  <si>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</si>
  <si>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</si>
  <si>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</si>
  <si>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</si>
  <si>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</si>
  <si>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</si>
  <si>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</si>
  <si>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</si>
  <si>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</si>
  <si>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</si>
  <si>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</si>
  <si>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</si>
  <si>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</si>
  <si>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</si>
  <si>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</si>
  <si>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</si>
  <si>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</si>
  <si>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</si>
  <si>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</si>
  <si>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</si>
  <si>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</si>
  <si>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</si>
  <si>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</si>
  <si>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</si>
  <si>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</si>
  <si>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</si>
  <si>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</si>
  <si>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</si>
  <si>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</si>
  <si>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</si>
  <si>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</si>
  <si>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</si>
  <si>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</si>
  <si>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</si>
  <si>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</si>
  <si>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</si>
  <si>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</si>
  <si>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</si>
  <si>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</si>
  <si>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</si>
  <si>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</si>
  <si>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</si>
  <si>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</si>
  <si>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</si>
  <si>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</si>
  <si>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</si>
  <si>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</si>
  <si>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</si>
  <si>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</si>
  <si>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</si>
  <si>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</si>
  <si>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</si>
  <si>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</si>
  <si>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</si>
  <si>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</si>
  <si>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</si>
  <si>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</si>
  <si>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</si>
  <si>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</si>
  <si>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</si>
  <si>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</si>
  <si>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</si>
  <si>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</si>
  <si>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</si>
  <si>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</si>
  <si>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</si>
  <si>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</si>
  <si>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</si>
  <si>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</si>
  <si>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</si>
  <si>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</si>
  <si>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</si>
  <si>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</si>
  <si>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</si>
  <si>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</si>
  <si>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</si>
  <si>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</si>
  <si>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</si>
  <si>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</si>
  <si>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</si>
  <si>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</si>
  <si>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</si>
  <si>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</si>
  <si>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</si>
  <si>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</si>
  <si>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</si>
  <si>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</si>
  <si>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</si>
  <si>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</si>
  <si>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</si>
  <si>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</si>
  <si>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</si>
  <si>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</si>
  <si>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</si>
  <si>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</si>
  <si>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</si>
  <si>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</si>
  <si>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</si>
  <si>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</si>
  <si>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</si>
  <si>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</si>
  <si>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</si>
  <si>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</si>
  <si>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</si>
  <si>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</si>
  <si>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</si>
  <si>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</si>
  <si>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</si>
  <si>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</si>
  <si>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</si>
  <si>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</si>
  <si>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</si>
  <si>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</si>
  <si>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</si>
  <si>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</si>
  <si>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</si>
  <si>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</si>
  <si>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</si>
  <si>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</si>
  <si>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</si>
  <si>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</si>
  <si>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</si>
  <si>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</si>
  <si>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</si>
  <si>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</si>
  <si>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</si>
  <si>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</si>
  <si>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</si>
  <si>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</si>
  <si>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</si>
  <si>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</si>
  <si>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</si>
  <si>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</si>
  <si>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</si>
  <si>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</si>
  <si>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</si>
  <si>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</si>
  <si>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</si>
  <si>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</si>
  <si>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</si>
  <si>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</si>
  <si>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</si>
  <si>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</si>
  <si>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</si>
  <si>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</si>
  <si>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</si>
  <si>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</si>
  <si>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</si>
  <si>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</si>
  <si>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</si>
  <si>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</si>
  <si>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</si>
  <si>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</si>
  <si>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</si>
  <si>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</si>
  <si>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</si>
  <si>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</si>
  <si>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</si>
  <si>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</si>
  <si>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</si>
  <si>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</si>
  <si>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</si>
  <si>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</si>
  <si>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</si>
  <si>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</si>
  <si>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</si>
  <si>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</si>
  <si>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</si>
  <si>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</si>
  <si>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</si>
  <si>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</si>
  <si>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</si>
  <si>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</si>
  <si>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</si>
  <si>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</si>
  <si>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</si>
  <si>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</si>
  <si>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</si>
  <si>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</si>
  <si>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</si>
  <si>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</si>
  <si>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</si>
  <si>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</si>
  <si>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</si>
  <si>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</si>
  <si>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</si>
  <si>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</si>
  <si>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</si>
  <si>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</si>
  <si>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</si>
  <si>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</si>
  <si>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</si>
  <si>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</si>
  <si>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</si>
  <si>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</si>
  <si>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</si>
  <si>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</si>
  <si>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</si>
  <si>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</si>
  <si>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</si>
  <si>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</si>
  <si>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</si>
  <si>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</si>
  <si>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</si>
  <si>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</si>
  <si>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</si>
  <si>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</si>
  <si>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</si>
  <si>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</si>
  <si>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</si>
  <si>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</si>
  <si>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</si>
  <si>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</si>
  <si>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</si>
  <si>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</si>
  <si>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</si>
  <si>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</si>
  <si>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</si>
  <si>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</si>
  <si>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</si>
  <si>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</si>
  <si>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</si>
  <si>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</si>
  <si>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</si>
  <si>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</si>
  <si>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</si>
  <si>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</si>
  <si>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</si>
  <si>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</si>
  <si>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</si>
  <si>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</si>
  <si>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</si>
  <si>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</si>
  <si>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</si>
  <si>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</si>
  <si>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</si>
  <si>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</si>
  <si>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</si>
  <si>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</si>
  <si>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</si>
  <si>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</si>
  <si>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</si>
  <si>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</si>
  <si>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</si>
  <si>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</si>
  <si>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</si>
  <si>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</si>
  <si>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</si>
  <si>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</si>
  <si>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</si>
  <si>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</si>
  <si>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</si>
  <si>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</si>
  <si>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</si>
  <si>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</si>
  <si>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</si>
  <si>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</si>
  <si>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</si>
  <si>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</si>
  <si>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</si>
  <si>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</si>
  <si>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</si>
  <si>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</si>
  <si>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</si>
  <si>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</si>
  <si>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</si>
  <si>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</si>
  <si>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</si>
  <si>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</si>
  <si>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</si>
  <si>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</si>
  <si>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</si>
  <si>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</si>
  <si>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</si>
  <si>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</si>
  <si>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</si>
  <si>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</si>
  <si>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</si>
  <si>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</si>
  <si>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</si>
  <si>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</si>
  <si>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</si>
  <si>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</si>
  <si>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</si>
  <si>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</si>
  <si>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</si>
  <si>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</si>
  <si>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</si>
  <si>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</si>
  <si>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</si>
  <si>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</si>
  <si>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</si>
  <si>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</si>
  <si>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</si>
  <si>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</si>
  <si>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</si>
  <si>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</si>
  <si>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</si>
  <si>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</si>
  <si>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</si>
  <si>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</si>
  <si>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</si>
  <si>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</si>
  <si>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</si>
  <si>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</si>
  <si>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</si>
  <si>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</si>
  <si>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</si>
  <si>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</si>
  <si>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</si>
  <si>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</si>
  <si>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</si>
  <si>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</si>
  <si>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</si>
  <si>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</si>
  <si>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</si>
  <si>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</si>
  <si>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</si>
  <si>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</si>
  <si>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</si>
  <si>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</si>
  <si>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</si>
  <si>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</si>
  <si>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</si>
  <si>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</si>
  <si>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</si>
  <si>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</si>
  <si>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</si>
  <si>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</si>
  <si>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</si>
  <si>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</si>
  <si>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</si>
  <si>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</si>
  <si>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</si>
  <si>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</si>
  <si>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</si>
  <si>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</si>
  <si>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</si>
  <si>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</si>
  <si>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</si>
  <si>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</si>
  <si>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</si>
  <si>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</si>
  <si>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</si>
  <si>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</si>
  <si>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</si>
  <si>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</si>
  <si>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</si>
  <si>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</si>
  <si>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</si>
  <si>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</si>
  <si>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</si>
  <si>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</si>
  <si>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</si>
  <si>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</si>
  <si>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</si>
  <si>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</si>
  <si>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</si>
  <si>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</si>
  <si>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</si>
  <si>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</si>
  <si>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</si>
  <si>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</si>
  <si>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</si>
  <si>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</si>
  <si>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</si>
  <si>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</si>
  <si>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</si>
  <si>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</si>
  <si>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</si>
  <si>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</si>
  <si>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</si>
  <si>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</si>
  <si>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</si>
  <si>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</si>
  <si>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</si>
  <si>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</si>
  <si>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</si>
  <si>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</si>
  <si>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</si>
  <si>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</si>
  <si>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</si>
  <si>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</si>
  <si>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</si>
  <si>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</si>
  <si>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</si>
  <si>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</si>
  <si>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</si>
  <si>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</si>
  <si>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</si>
  <si>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</si>
  <si>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</si>
  <si>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</si>
  <si>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</si>
  <si>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</si>
  <si>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</si>
  <si>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</si>
  <si>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</si>
  <si>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</si>
  <si>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</si>
  <si>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</si>
  <si>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</si>
  <si>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</si>
  <si>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</si>
  <si>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</si>
  <si>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</si>
  <si>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</si>
  <si>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</si>
  <si>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</si>
  <si>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</si>
  <si>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</si>
  <si>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</si>
  <si>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</si>
  <si>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</si>
  <si>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</si>
  <si>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</si>
  <si>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</si>
  <si>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</si>
  <si>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</si>
  <si>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</si>
  <si>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</si>
  <si>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</si>
  <si>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</si>
  <si>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</si>
  <si>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</si>
  <si>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</si>
  <si>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</si>
  <si>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</si>
  <si>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</si>
  <si>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</si>
  <si>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</si>
  <si>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</si>
  <si>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</si>
  <si>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</si>
  <si>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</si>
  <si>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</si>
  <si>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</si>
  <si>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</si>
  <si>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</si>
  <si>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</si>
  <si>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</si>
  <si>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</si>
  <si>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</si>
  <si>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</si>
  <si>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</si>
  <si>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</si>
  <si>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</si>
  <si>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</si>
  <si>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</si>
  <si>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</si>
  <si>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</si>
  <si>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</si>
  <si>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</si>
  <si>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</si>
  <si>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</si>
  <si>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</si>
  <si>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</si>
  <si>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</si>
  <si>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</si>
  <si>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</si>
  <si>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</si>
  <si>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</si>
  <si>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</si>
  <si>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</si>
  <si>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</si>
  <si>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</si>
  <si>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</si>
  <si>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</si>
  <si>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</si>
  <si>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</si>
  <si>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</si>
  <si>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</si>
  <si>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</si>
  <si>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</si>
  <si>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</si>
  <si>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</si>
  <si>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</si>
  <si>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</si>
  <si>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</si>
  <si>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</si>
  <si>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</si>
  <si>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</si>
  <si>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</si>
  <si>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</si>
  <si>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</si>
  <si>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</si>
  <si>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</si>
  <si>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</si>
  <si>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</si>
  <si>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</si>
  <si>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</si>
  <si>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</si>
  <si>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</si>
  <si>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</si>
  <si>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</si>
  <si>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</si>
  <si>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</si>
  <si>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</si>
  <si>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</si>
  <si>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</si>
  <si>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</si>
  <si>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</si>
  <si>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</si>
  <si>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</si>
  <si>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</si>
  <si>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</si>
  <si>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</si>
  <si>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</si>
  <si>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</si>
  <si>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</si>
  <si>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</si>
  <si>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</si>
  <si>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</si>
  <si>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</si>
  <si>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</si>
  <si>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</si>
  <si>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</si>
  <si>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</si>
  <si>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</si>
  <si>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</si>
  <si>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</si>
  <si>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</si>
  <si>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</si>
  <si>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</si>
  <si>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</si>
  <si>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</si>
  <si>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</si>
  <si>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</si>
  <si>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</si>
  <si>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</si>
  <si>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</si>
  <si>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</si>
  <si>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</si>
  <si>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</si>
  <si>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</si>
  <si>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</si>
  <si>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</si>
  <si>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</si>
  <si>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</si>
  <si>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</si>
  <si>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</si>
  <si>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</si>
  <si>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</si>
  <si>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</si>
  <si>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</si>
  <si>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</si>
  <si>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</si>
  <si>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</si>
  <si>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</si>
  <si>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</si>
  <si>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</si>
  <si>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</si>
  <si>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</si>
  <si>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</si>
  <si>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</si>
  <si>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</si>
  <si>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</si>
  <si>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</si>
  <si>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</si>
  <si>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</si>
  <si>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</si>
  <si>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</si>
  <si>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</si>
  <si>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</si>
  <si>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</si>
  <si>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</si>
  <si>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</si>
  <si>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</si>
  <si>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</si>
  <si>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</si>
  <si>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</si>
  <si>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</si>
  <si>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</si>
  <si>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</si>
  <si>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</si>
  <si>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</si>
  <si>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</si>
  <si>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</si>
  <si>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</si>
  <si>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</si>
  <si>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</si>
  <si>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</si>
  <si>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</si>
  <si>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</si>
  <si>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</si>
  <si>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</si>
  <si>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</si>
  <si>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</si>
  <si>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</si>
  <si>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</si>
  <si>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</si>
  <si>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</si>
  <si>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</si>
  <si>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</si>
  <si>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</si>
  <si>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</si>
  <si>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</si>
  <si>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</si>
  <si>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</si>
  <si>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</si>
  <si>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</si>
  <si>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</si>
  <si>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</si>
  <si>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</si>
  <si>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</si>
  <si>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</si>
  <si>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</si>
  <si>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</si>
  <si>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</si>
  <si>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</si>
  <si>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</si>
  <si>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</si>
  <si>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</si>
  <si>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</si>
  <si>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</si>
  <si>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</si>
  <si>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</si>
  <si>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</si>
  <si>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</si>
  <si>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</si>
  <si>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</si>
  <si>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</si>
  <si>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</si>
  <si>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</si>
  <si>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</si>
  <si>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</si>
  <si>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</si>
  <si>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</si>
  <si>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</si>
  <si>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</si>
  <si>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</si>
  <si>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</si>
  <si>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</si>
  <si>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</si>
  <si>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</si>
  <si>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</si>
  <si>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</si>
  <si>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</si>
  <si>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</si>
  <si>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</si>
  <si>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</si>
  <si>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</si>
  <si>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</si>
  <si>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</si>
  <si>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</si>
  <si>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</si>
  <si>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</si>
  <si>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</si>
  <si>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</si>
  <si>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</si>
  <si>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</si>
  <si>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</si>
  <si>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</si>
  <si>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</si>
  <si>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</si>
  <si>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</si>
  <si>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</si>
  <si>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</si>
  <si>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</si>
  <si>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</si>
  <si>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</si>
  <si>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</si>
  <si>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</si>
  <si>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</si>
  <si>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</si>
  <si>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</si>
  <si>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</si>
  <si>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</si>
  <si>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</si>
  <si>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</si>
  <si>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</si>
  <si>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</si>
  <si>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</si>
  <si>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</si>
  <si>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</si>
  <si>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</si>
  <si>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</si>
  <si>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</si>
  <si>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</si>
  <si>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</si>
  <si>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</si>
  <si>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</si>
  <si>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</si>
  <si>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</si>
  <si>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</si>
  <si>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</si>
  <si>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</si>
  <si>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</si>
  <si>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</si>
  <si>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</si>
  <si>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</si>
  <si>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</si>
  <si>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</si>
  <si>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</si>
  <si>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</si>
  <si>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</si>
  <si>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</si>
  <si>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</si>
  <si>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</si>
  <si>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</si>
  <si>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</si>
  <si>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</si>
  <si>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</si>
  <si>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</si>
  <si>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</si>
  <si>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</si>
  <si>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</si>
  <si>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</si>
  <si>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</si>
  <si>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</si>
  <si>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</si>
  <si>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</si>
  <si>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</si>
  <si>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</si>
  <si>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</si>
  <si>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</si>
  <si>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</si>
  <si>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</si>
  <si>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</si>
  <si>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</si>
  <si>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</si>
  <si>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</si>
  <si>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</si>
  <si>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</si>
  <si>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</si>
  <si>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</si>
  <si>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</si>
  <si>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</si>
  <si>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</si>
  <si>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</si>
  <si>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</si>
  <si>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</si>
  <si>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</si>
  <si>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</si>
  <si>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</si>
  <si>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</si>
  <si>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</si>
  <si>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</si>
  <si>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</si>
  <si>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</si>
  <si>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</si>
  <si>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</si>
  <si>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</si>
  <si>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</si>
  <si>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</si>
  <si>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</si>
  <si>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</si>
  <si>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</si>
  <si>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</si>
  <si>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</si>
  <si>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</si>
  <si>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</si>
  <si>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</si>
  <si>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</si>
  <si>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</si>
  <si>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</si>
  <si>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</si>
  <si>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</si>
  <si>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</si>
  <si>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</si>
  <si>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</si>
  <si>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</si>
  <si>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</si>
  <si>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</si>
  <si>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</si>
  <si>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</si>
  <si>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</si>
  <si>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</si>
  <si>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</si>
  <si>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</si>
  <si>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</si>
  <si>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</si>
  <si>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</si>
  <si>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</si>
  <si>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</si>
  <si>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</si>
  <si>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</si>
  <si>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</si>
  <si>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</si>
  <si>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</si>
  <si>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</si>
  <si>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</si>
  <si>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</si>
  <si>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</si>
  <si>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</si>
  <si>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</si>
  <si>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</si>
  <si>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</si>
  <si>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</si>
  <si>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</si>
  <si>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</si>
  <si>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</si>
  <si>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</si>
  <si>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</si>
  <si>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</si>
  <si>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</si>
  <si>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</si>
  <si>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</si>
  <si>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</si>
  <si>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</si>
  <si>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</si>
  <si>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</si>
  <si>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</si>
  <si>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</si>
  <si>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</si>
  <si>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</si>
  <si>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</si>
  <si>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</si>
  <si>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</si>
  <si>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</si>
  <si>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</si>
  <si>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</si>
  <si>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</si>
  <si>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</si>
  <si>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</si>
  <si>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</si>
  <si>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</si>
  <si>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</si>
  <si>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</si>
  <si>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</si>
  <si>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</si>
  <si>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</si>
  <si>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</si>
  <si>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</si>
  <si>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</si>
  <si>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</si>
  <si>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</si>
  <si>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</si>
  <si>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</si>
  <si>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</si>
  <si>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</si>
  <si>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</si>
  <si>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</si>
  <si>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</si>
  <si>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</si>
  <si>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</si>
  <si>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</si>
  <si>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</si>
  <si>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</si>
  <si>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</si>
  <si>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</si>
  <si>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</si>
  <si>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</si>
  <si>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</si>
  <si>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</si>
  <si>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</si>
  <si>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</si>
  <si>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</si>
  <si>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</si>
  <si>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</si>
  <si>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</si>
  <si>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</si>
  <si>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</si>
  <si>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</si>
  <si>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</si>
  <si>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</si>
  <si>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</si>
  <si>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</si>
  <si>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</si>
  <si>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</si>
  <si>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</si>
  <si>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</si>
  <si>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</si>
  <si>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</si>
  <si>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</si>
  <si>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</si>
  <si>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</si>
  <si>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</si>
  <si>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</si>
  <si>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</si>
  <si>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</si>
  <si>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</si>
  <si>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</si>
  <si>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</si>
  <si>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</si>
  <si>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</si>
  <si>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</si>
  <si>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</si>
  <si>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</si>
  <si>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</si>
  <si>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</si>
  <si>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</si>
  <si>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</si>
  <si>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</si>
  <si>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</si>
  <si>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</si>
  <si>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</si>
  <si>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</si>
  <si>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</si>
  <si>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</si>
  <si>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</si>
  <si>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</si>
  <si>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</si>
  <si>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</si>
  <si>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</si>
  <si>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</si>
  <si>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</si>
  <si>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</si>
  <si>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</si>
  <si>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</si>
  <si>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</si>
  <si>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</si>
  <si>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</si>
  <si>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</si>
  <si>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</si>
  <si>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</si>
  <si>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</si>
  <si>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</si>
  <si>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</si>
  <si>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</si>
  <si>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</si>
  <si>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</si>
  <si>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</si>
  <si>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</si>
  <si>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</si>
  <si>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</si>
  <si>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</si>
  <si>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</si>
  <si>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</si>
  <si>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</si>
  <si>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</si>
  <si>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</si>
  <si>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</si>
  <si>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</si>
  <si>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</si>
  <si>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</si>
  <si>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</si>
  <si>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</si>
  <si>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</si>
  <si>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</si>
  <si>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</si>
  <si>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</si>
  <si>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</si>
  <si>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</si>
  <si>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</si>
  <si>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</si>
  <si>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</si>
  <si>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</si>
  <si>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</si>
  <si>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</si>
  <si>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</si>
  <si>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</si>
  <si>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</si>
  <si>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</si>
  <si>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</si>
  <si>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</si>
  <si>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</si>
  <si>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</si>
  <si>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</si>
  <si>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</si>
  <si>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</si>
  <si>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</si>
  <si>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</si>
  <si>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</si>
  <si>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</si>
  <si>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</si>
  <si>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</si>
  <si>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</si>
  <si>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</si>
  <si>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</si>
  <si>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</si>
  <si>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</si>
  <si>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</si>
  <si>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</si>
  <si>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</si>
  <si>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</si>
  <si>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</si>
  <si>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</si>
  <si>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</si>
  <si>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</si>
  <si>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</si>
  <si>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</si>
  <si>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</si>
  <si>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</si>
  <si>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</si>
  <si>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</si>
  <si>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</si>
  <si>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</si>
  <si>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</si>
  <si>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</si>
  <si>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</si>
  <si>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</si>
  <si>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</si>
  <si>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</si>
  <si>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</si>
  <si>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</si>
  <si>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</si>
  <si>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</si>
  <si>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</si>
  <si>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</si>
  <si>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</si>
  <si>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</si>
  <si>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</si>
  <si>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</si>
  <si>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</si>
  <si>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</si>
  <si>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</si>
  <si>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</si>
  <si>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</si>
  <si>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</si>
  <si>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</si>
  <si>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</si>
  <si>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</si>
  <si>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</si>
  <si>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</si>
  <si>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</si>
  <si>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</si>
  <si>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</si>
  <si>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</si>
  <si>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</si>
  <si>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</si>
  <si>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</si>
  <si>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</si>
  <si>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</si>
  <si>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</si>
  <si>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</si>
  <si>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</si>
  <si>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</si>
  <si>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</si>
  <si>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</si>
  <si>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</si>
  <si>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</si>
  <si>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</si>
  <si>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</si>
  <si>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</si>
  <si>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</si>
  <si>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</si>
  <si>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</si>
  <si>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</si>
  <si>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</si>
  <si>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</si>
  <si>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</si>
  <si>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</si>
  <si>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</si>
  <si>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</si>
  <si>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</si>
  <si>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</si>
  <si>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</si>
  <si>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</si>
  <si>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</si>
  <si>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</si>
  <si>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</si>
  <si>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</si>
  <si>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</si>
  <si>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</si>
  <si>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</si>
  <si>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</si>
  <si>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</si>
  <si>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</si>
  <si>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</si>
  <si>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</si>
  <si>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</si>
  <si>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</si>
  <si>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</si>
  <si>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</si>
  <si>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</si>
  <si>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</si>
  <si>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</si>
  <si>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</si>
  <si>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</si>
  <si>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</si>
  <si>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</si>
  <si>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</si>
  <si>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</si>
  <si>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</si>
  <si>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</si>
  <si>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</si>
  <si>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</si>
  <si>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</si>
  <si>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</si>
  <si>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</si>
  <si>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</si>
  <si>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</si>
  <si>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</si>
  <si>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</si>
  <si>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</si>
  <si>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</si>
  <si>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</si>
  <si>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</si>
  <si>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</si>
  <si>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</si>
  <si>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</si>
  <si>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</si>
  <si>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</si>
  <si>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</si>
  <si>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</si>
  <si>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</si>
  <si>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</si>
  <si>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</si>
  <si>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</si>
  <si>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</si>
  <si>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</si>
  <si>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</si>
  <si>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</si>
  <si>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</si>
  <si>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</si>
  <si>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</si>
  <si>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</si>
  <si>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</si>
  <si>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</si>
  <si>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</si>
  <si>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</si>
  <si>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</si>
  <si>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</si>
  <si>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</si>
  <si>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</si>
  <si>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</si>
  <si>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</si>
  <si>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</si>
  <si>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</si>
  <si>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</si>
  <si>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</si>
  <si>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</si>
  <si>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</si>
  <si>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</si>
  <si>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</si>
  <si>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</si>
  <si>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</si>
  <si>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</si>
  <si>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</si>
  <si>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</si>
  <si>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</si>
  <si>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</si>
  <si>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</si>
  <si>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</si>
  <si>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</si>
  <si>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</si>
  <si>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</si>
  <si>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</si>
  <si>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</si>
  <si>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</si>
  <si>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</si>
  <si>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</si>
  <si>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</si>
  <si>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</si>
  <si>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</si>
  <si>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</si>
  <si>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</si>
  <si>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</si>
  <si>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</si>
  <si>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</si>
  <si>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</si>
  <si>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</si>
  <si>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</si>
  <si>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</si>
  <si>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</si>
  <si>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</si>
  <si>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</si>
  <si>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</si>
  <si>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</si>
  <si>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</si>
  <si>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</si>
  <si>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</si>
  <si>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</si>
  <si>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</si>
  <si>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</si>
  <si>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</si>
  <si>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</si>
  <si>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</si>
  <si>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</si>
  <si>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</si>
  <si>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</si>
  <si>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</si>
  <si>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</si>
  <si>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</si>
  <si>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</si>
  <si>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</si>
  <si>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</si>
  <si>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</si>
  <si>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</si>
  <si>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</si>
  <si>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</si>
  <si>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</si>
  <si>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</si>
  <si>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</si>
  <si>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</si>
  <si>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</si>
  <si>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</si>
  <si>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</si>
  <si>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</si>
  <si>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</si>
  <si>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</si>
  <si>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</si>
  <si>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</si>
  <si>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</si>
  <si>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</si>
  <si>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</si>
  <si>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</si>
  <si>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</si>
  <si>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</si>
  <si>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</si>
  <si>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</si>
  <si>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</si>
  <si>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</si>
  <si>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</si>
  <si>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</si>
  <si>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</si>
  <si>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</si>
  <si>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</si>
  <si>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</si>
  <si>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</si>
  <si>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</si>
  <si>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</si>
  <si>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</si>
  <si>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</si>
  <si>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</si>
  <si>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</si>
  <si>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</si>
  <si>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</si>
  <si>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</si>
  <si>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</si>
  <si>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</si>
  <si>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</si>
  <si>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</si>
  <si>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</si>
  <si>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</si>
  <si>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</si>
  <si>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</si>
  <si>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</si>
  <si>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</si>
  <si>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</si>
  <si>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</si>
  <si>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</si>
  <si>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</si>
  <si>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</si>
  <si>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</si>
  <si>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</si>
  <si>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</si>
  <si>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</si>
  <si>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</si>
  <si>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</si>
  <si>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</si>
  <si>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</si>
  <si>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</si>
  <si>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</si>
  <si>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</si>
  <si>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</si>
  <si>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</si>
  <si>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</si>
  <si>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</si>
  <si>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</si>
  <si>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</si>
  <si>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</si>
  <si>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</si>
  <si>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</si>
  <si>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</si>
  <si>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</si>
  <si>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</si>
  <si>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</si>
  <si>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</si>
  <si>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</si>
  <si>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</si>
  <si>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</si>
  <si>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</si>
  <si>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</si>
  <si>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</si>
  <si>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</si>
  <si>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</si>
  <si>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</si>
  <si>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</si>
  <si>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</si>
  <si>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</si>
  <si>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</si>
  <si>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</si>
  <si>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</si>
  <si>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</si>
  <si>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</si>
  <si>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</si>
  <si>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</si>
  <si>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</si>
  <si>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</si>
  <si>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</si>
  <si>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</si>
  <si>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</si>
  <si>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</si>
  <si>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</si>
  <si>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</si>
  <si>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</si>
  <si>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</si>
  <si>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</si>
  <si>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</si>
  <si>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</si>
  <si>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</si>
  <si>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</si>
  <si>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</si>
  <si>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</si>
  <si>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</si>
  <si>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</si>
  <si>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</si>
  <si>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</si>
  <si>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</si>
  <si>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</si>
  <si>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</si>
  <si>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</si>
  <si>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</si>
  <si>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</si>
  <si>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</si>
  <si>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</si>
  <si>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</si>
  <si>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</si>
  <si>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</si>
  <si>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</si>
  <si>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</si>
  <si>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</si>
  <si>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</si>
  <si>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</si>
  <si>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</si>
  <si>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</si>
  <si>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</si>
  <si>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</si>
  <si>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</si>
  <si>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</si>
  <si>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</si>
  <si>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</si>
  <si>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</si>
  <si>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</si>
  <si>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</si>
  <si>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</si>
  <si>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</si>
  <si>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</si>
  <si>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</si>
  <si>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</si>
  <si>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</si>
  <si>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</si>
  <si>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</si>
  <si>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</si>
  <si>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</si>
  <si>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</si>
  <si>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</si>
  <si>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</si>
  <si>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</si>
  <si>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</si>
  <si>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</si>
  <si>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</si>
  <si>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</si>
  <si>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</si>
  <si>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</si>
  <si>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</si>
  <si>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</si>
  <si>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</si>
  <si>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</si>
  <si>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</si>
  <si>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</si>
  <si>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</si>
  <si>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</si>
  <si>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</si>
  <si>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</si>
  <si>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</si>
  <si>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</si>
  <si>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</si>
  <si>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</si>
  <si>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</si>
  <si>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</si>
  <si>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</si>
  <si>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</si>
  <si>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</si>
  <si>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</si>
  <si>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</si>
  <si>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</si>
  <si>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</si>
  <si>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</si>
  <si>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</si>
  <si>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</si>
  <si>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</si>
  <si>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</si>
  <si>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</si>
  <si>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</si>
  <si>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</si>
  <si>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</si>
  <si>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</si>
  <si>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</si>
  <si>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</si>
  <si>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</si>
  <si>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</si>
  <si>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</si>
  <si>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</si>
  <si>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</si>
  <si>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</si>
  <si>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</si>
  <si>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</si>
  <si>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</si>
  <si>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</si>
  <si>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</si>
  <si>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</si>
  <si>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</si>
  <si>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</si>
  <si>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</si>
  <si>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</si>
  <si>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</si>
  <si>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</si>
  <si>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</si>
  <si>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</si>
  <si>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</si>
  <si>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</si>
  <si>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</si>
  <si>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</si>
  <si>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</si>
  <si>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</si>
  <si>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</si>
  <si>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</si>
  <si>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</si>
  <si>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</si>
  <si>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</si>
  <si>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</si>
  <si>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</si>
  <si>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</si>
  <si>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</si>
  <si>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</si>
  <si>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</si>
  <si>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</si>
  <si>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</si>
  <si>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</si>
  <si>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</si>
  <si>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</si>
  <si>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</si>
  <si>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</si>
  <si>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</si>
  <si>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</si>
  <si>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</si>
  <si>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</si>
  <si>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</si>
  <si>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</si>
  <si>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</si>
  <si>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</si>
  <si>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</si>
  <si>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</si>
  <si>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</si>
  <si>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</si>
  <si>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</si>
  <si>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</si>
  <si>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</si>
  <si>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</si>
  <si>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</si>
  <si>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</si>
  <si>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</si>
  <si>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</si>
  <si>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</si>
  <si>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</si>
  <si>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</si>
  <si>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</si>
  <si>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</si>
  <si>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</si>
  <si>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</si>
  <si>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</si>
  <si>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</si>
  <si>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</si>
  <si>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</si>
  <si>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</si>
  <si>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</si>
  <si>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</si>
  <si>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</si>
  <si>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</si>
  <si>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</si>
  <si>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</si>
  <si>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</si>
  <si>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</si>
  <si>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</si>
  <si>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</si>
  <si>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</si>
  <si>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</si>
  <si>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</si>
  <si>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</si>
  <si>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</si>
  <si>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</si>
  <si>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</si>
  <si>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</si>
  <si>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</si>
  <si>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</si>
  <si>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</si>
  <si>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</si>
  <si>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</si>
  <si>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</si>
  <si>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</si>
  <si>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</si>
  <si>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</si>
  <si>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</si>
  <si>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</si>
  <si>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</si>
  <si>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</si>
  <si>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</si>
  <si>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</si>
  <si>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</si>
  <si>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</si>
  <si>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</si>
  <si>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</si>
  <si>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</si>
  <si>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</si>
  <si>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</si>
  <si>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</si>
  <si>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</si>
  <si>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</si>
  <si>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</si>
  <si>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</si>
  <si>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</si>
  <si>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</si>
  <si>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</si>
  <si>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</si>
  <si>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</si>
  <si>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</si>
  <si>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</si>
  <si>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</si>
  <si>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</si>
  <si>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</si>
  <si>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</si>
  <si>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</si>
  <si>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</si>
  <si>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</si>
  <si>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</si>
  <si>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</si>
  <si>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</si>
  <si>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</si>
  <si>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</si>
  <si>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</si>
  <si>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</si>
  <si>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</si>
  <si>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</si>
  <si>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</si>
  <si>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</si>
  <si>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</si>
  <si>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</si>
  <si>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</si>
  <si>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</si>
  <si>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</si>
  <si>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</si>
  <si>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</si>
  <si>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</si>
  <si>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</si>
  <si>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</si>
  <si>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</si>
  <si>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</si>
  <si>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</si>
  <si>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</si>
  <si>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</si>
  <si>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</si>
  <si>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</si>
  <si>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</si>
  <si>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</si>
  <si>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</si>
  <si>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</si>
  <si>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</si>
  <si>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</si>
  <si>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</si>
  <si>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</si>
  <si>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</si>
  <si>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</si>
  <si>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</si>
  <si>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</si>
  <si>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</si>
  <si>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</si>
  <si>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</si>
  <si>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</si>
  <si>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</si>
  <si>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</si>
  <si>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</si>
  <si>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</si>
  <si>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</si>
  <si>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</si>
  <si>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</si>
  <si>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</si>
  <si>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</si>
  <si>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</si>
  <si>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</si>
  <si>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</si>
  <si>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</si>
  <si>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</si>
  <si>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</si>
  <si>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</si>
  <si>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</si>
  <si>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</si>
  <si>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</si>
  <si>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</si>
  <si>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</si>
  <si>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</si>
  <si>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</si>
  <si>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</si>
  <si>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</si>
  <si>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</si>
  <si>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</si>
  <si>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</si>
  <si>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</si>
  <si>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</si>
  <si>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</si>
  <si>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</si>
  <si>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</si>
  <si>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</si>
  <si>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</si>
  <si>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</si>
  <si>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</si>
  <si>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</si>
  <si>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</si>
  <si>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</si>
  <si>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</si>
  <si>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</si>
  <si>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</si>
  <si>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</si>
  <si>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</si>
  <si>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</si>
  <si>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</si>
  <si>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</si>
  <si>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</si>
  <si>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</si>
  <si>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</si>
  <si>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</si>
  <si>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</si>
  <si>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</si>
  <si>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</si>
  <si>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</si>
  <si>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</si>
  <si>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</si>
  <si>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</si>
  <si>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</si>
  <si>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</si>
  <si>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</si>
  <si>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</si>
  <si>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</si>
  <si>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</si>
  <si>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</si>
  <si>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</si>
  <si>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</si>
  <si>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</si>
  <si>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</si>
  <si>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</si>
  <si>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</si>
  <si>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</si>
  <si>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</si>
  <si>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</si>
  <si>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</si>
  <si>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</si>
  <si>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</si>
  <si>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</si>
  <si>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</si>
  <si>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</si>
  <si>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</si>
  <si>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</si>
  <si>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</si>
  <si>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</si>
  <si>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</si>
  <si>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</si>
  <si>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</si>
  <si>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</si>
  <si>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</si>
  <si>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</si>
  <si>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</si>
  <si>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</si>
  <si>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</si>
  <si>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</si>
  <si>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</si>
  <si>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</si>
  <si>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</si>
  <si>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</si>
  <si>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</si>
  <si>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</si>
  <si>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</si>
  <si>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</si>
  <si>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</si>
  <si>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</si>
  <si>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</si>
  <si>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</si>
  <si>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</si>
  <si>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</si>
  <si>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</si>
  <si>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</si>
  <si>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</si>
  <si>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</si>
  <si>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</si>
  <si>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</si>
  <si>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</si>
  <si>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</si>
  <si>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</si>
  <si>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</si>
  <si>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</si>
  <si>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</si>
  <si>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</si>
  <si>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</si>
  <si>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</si>
  <si>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</si>
  <si>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</si>
  <si>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</si>
  <si>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</si>
  <si>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</si>
  <si>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</si>
  <si>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</si>
  <si>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</si>
  <si>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</si>
  <si>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</si>
  <si>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</si>
  <si>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</si>
  <si>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</si>
  <si>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</si>
  <si>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</si>
  <si>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</si>
  <si>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</si>
  <si>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</si>
  <si>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</si>
  <si>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</si>
  <si>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</si>
  <si>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</si>
  <si>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</si>
  <si>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</si>
  <si>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</si>
  <si>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</si>
  <si>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</si>
  <si>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</si>
  <si>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</si>
  <si>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</si>
  <si>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</si>
  <si>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</si>
  <si>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</si>
  <si>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</si>
  <si>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</si>
  <si>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</si>
  <si>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</si>
  <si>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</si>
  <si>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</si>
  <si>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</si>
  <si>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</si>
  <si>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</si>
  <si>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</si>
  <si>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</si>
  <si>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</si>
  <si>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</si>
  <si>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</si>
  <si>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</si>
  <si>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</si>
  <si>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</si>
  <si>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</si>
  <si>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</si>
  <si>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</si>
  <si>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</si>
  <si>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</si>
  <si>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</si>
  <si>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</si>
  <si>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</si>
  <si>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</si>
  <si>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</si>
  <si>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</si>
  <si>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</si>
  <si>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</si>
  <si>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</si>
  <si>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</si>
  <si>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</si>
  <si>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</si>
  <si>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</si>
  <si>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</si>
  <si>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</si>
  <si>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</si>
  <si>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</si>
  <si>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</si>
  <si>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</si>
  <si>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</si>
  <si>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</si>
  <si>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</si>
  <si>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</si>
  <si>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</si>
  <si>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</si>
  <si>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</si>
  <si>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</si>
  <si>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</si>
  <si>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</si>
  <si>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</si>
  <si>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</si>
  <si>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</si>
  <si>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</si>
  <si>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</si>
  <si>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</si>
  <si>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</si>
  <si>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</si>
  <si>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</si>
  <si>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</si>
  <si>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</si>
  <si>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</si>
  <si>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</si>
  <si>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</si>
  <si>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</si>
  <si>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</si>
  <si>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</si>
  <si>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</si>
  <si>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</si>
  <si>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</si>
  <si>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</si>
  <si>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</si>
  <si>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</si>
  <si>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</si>
  <si>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</si>
  <si>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</si>
  <si>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</si>
  <si>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</si>
  <si>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</si>
  <si>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</si>
  <si>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</si>
  <si>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</si>
  <si>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</si>
  <si>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</si>
  <si>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</si>
  <si>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</si>
  <si>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</si>
  <si>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</si>
  <si>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</si>
  <si>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</si>
  <si>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</si>
  <si>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</si>
  <si>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</si>
  <si>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</si>
  <si>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</si>
  <si>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</si>
  <si>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</si>
  <si>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</si>
  <si>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</si>
  <si>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</si>
  <si>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</si>
  <si>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</si>
  <si>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</si>
  <si>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</si>
  <si>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</si>
  <si>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</si>
  <si>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</si>
  <si>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</si>
  <si>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</si>
  <si>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</si>
  <si>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</si>
  <si>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</si>
  <si>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</si>
  <si>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</si>
  <si>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</si>
  <si>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</si>
  <si>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</si>
  <si>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</si>
  <si>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</si>
  <si>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</si>
  <si>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</si>
  <si>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</si>
  <si>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</si>
  <si>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</si>
  <si>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</si>
  <si>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</si>
  <si>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</si>
  <si>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</si>
  <si>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</si>
  <si>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</si>
  <si>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</si>
  <si>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</si>
  <si>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</si>
  <si>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</si>
  <si>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</si>
  <si>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</si>
  <si>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</si>
  <si>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</si>
  <si>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</si>
  <si>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</si>
  <si>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</si>
  <si>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</si>
  <si>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</si>
  <si>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</si>
  <si>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</si>
  <si>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</si>
  <si>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</si>
  <si>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</si>
  <si>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</si>
  <si>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</si>
  <si>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</si>
  <si>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</si>
  <si>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</si>
  <si>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</si>
  <si>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</si>
  <si>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</si>
  <si>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</si>
  <si>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</si>
  <si>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</si>
  <si>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</si>
  <si>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</si>
  <si>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</si>
  <si>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</si>
  <si>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</si>
  <si>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</si>
  <si>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</si>
  <si>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</si>
  <si>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</si>
  <si>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</si>
  <si>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</si>
  <si>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</si>
  <si>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</si>
  <si>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</si>
  <si>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</si>
  <si>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</si>
  <si>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</si>
  <si>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</si>
  <si>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</si>
  <si>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</si>
  <si>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</si>
  <si>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</si>
  <si>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</si>
  <si>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</si>
  <si>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</si>
  <si>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</si>
  <si>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</si>
  <si>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</si>
  <si>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</si>
  <si>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</si>
  <si>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</si>
  <si>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</si>
  <si>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</si>
  <si>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</si>
  <si>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</si>
  <si>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</si>
  <si>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</si>
  <si>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</si>
  <si>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</si>
  <si>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</si>
  <si>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</si>
  <si>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</si>
  <si>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</si>
  <si>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</si>
  <si>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</si>
  <si>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</si>
  <si>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</si>
  <si>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</si>
  <si>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</si>
  <si>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</si>
  <si>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</si>
  <si>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</si>
  <si>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</si>
  <si>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</si>
  <si>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</si>
  <si>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</si>
  <si>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</si>
  <si>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</si>
  <si>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</si>
  <si>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</si>
  <si>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</si>
  <si>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</si>
  <si>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</si>
  <si>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</si>
  <si>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</si>
  <si>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</si>
  <si>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</si>
  <si>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</si>
  <si>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</si>
  <si>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</si>
  <si>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</si>
  <si>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</si>
  <si>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</si>
  <si>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</si>
  <si>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</si>
  <si>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</si>
  <si>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</si>
  <si>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</si>
  <si>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</si>
  <si>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</si>
  <si>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</si>
  <si>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</si>
  <si>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</si>
  <si>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</si>
  <si>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</si>
  <si>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</si>
  <si>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</si>
  <si>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</si>
  <si>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</si>
  <si>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</si>
  <si>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</si>
  <si>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</si>
  <si>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</si>
  <si>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</si>
  <si>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</si>
  <si>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</si>
  <si>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</si>
  <si>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</si>
  <si>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</si>
  <si>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</si>
  <si>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</si>
  <si>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</si>
  <si>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</si>
  <si>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</si>
  <si>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</si>
  <si>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</si>
  <si>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</si>
  <si>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</si>
  <si>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</si>
  <si>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</si>
  <si>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</si>
  <si>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</si>
  <si>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</si>
  <si>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</si>
  <si>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</si>
  <si>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</si>
  <si>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</si>
  <si>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</si>
  <si>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</si>
  <si>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</si>
  <si>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</si>
  <si>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</si>
  <si>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</si>
  <si>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</si>
  <si>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</si>
  <si>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</si>
  <si>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</si>
  <si>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</si>
  <si>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</si>
  <si>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</si>
  <si>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</si>
  <si>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</si>
  <si>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</si>
  <si>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</si>
  <si>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</si>
  <si>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</si>
  <si>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</si>
  <si>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</si>
  <si>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</si>
  <si>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</si>
  <si>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</si>
  <si>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</si>
  <si>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</si>
  <si>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</si>
  <si>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</si>
  <si>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</si>
  <si>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</si>
  <si>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</si>
  <si>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</si>
  <si>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</si>
  <si>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</si>
  <si>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</si>
  <si>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</si>
  <si>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</si>
  <si>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</si>
  <si>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</si>
  <si>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</si>
  <si>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</si>
  <si>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</si>
  <si>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</si>
  <si>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</si>
  <si>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</si>
  <si>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</si>
  <si>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</si>
  <si>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</si>
  <si>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</si>
  <si>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</si>
  <si>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</si>
  <si>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</si>
  <si>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</si>
  <si>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</si>
  <si>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</si>
  <si>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</si>
  <si>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</si>
  <si>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</si>
  <si>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</si>
  <si>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</si>
  <si>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</si>
  <si>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</si>
  <si>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</si>
  <si>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</si>
  <si>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</si>
  <si>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</si>
  <si>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</si>
  <si>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</si>
  <si>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</si>
  <si>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</si>
  <si>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</si>
  <si>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</si>
  <si>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</si>
  <si>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</si>
  <si>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</si>
  <si>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</si>
  <si>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</si>
  <si>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</si>
  <si>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</si>
  <si>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</si>
  <si>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</si>
  <si>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</si>
  <si>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</si>
  <si>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</si>
  <si>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</si>
  <si>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</si>
  <si>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</si>
  <si>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</si>
  <si>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</si>
  <si>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</si>
  <si>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</si>
  <si>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</si>
  <si>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</si>
  <si>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</si>
  <si>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</si>
  <si>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</si>
  <si>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</si>
  <si>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</si>
  <si>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</si>
  <si>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</si>
  <si>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</si>
  <si>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</si>
  <si>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</si>
  <si>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</si>
  <si>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</si>
  <si>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</si>
  <si>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</si>
  <si>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</si>
  <si>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</si>
  <si>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</si>
  <si>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</si>
  <si>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</si>
  <si>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</si>
  <si>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</si>
  <si>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</si>
  <si>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</si>
  <si>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</si>
  <si>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</si>
  <si>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</si>
  <si>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</si>
  <si>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</si>
  <si>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</si>
  <si>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</si>
  <si>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</si>
  <si>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</si>
  <si>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</si>
  <si>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</si>
  <si>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</si>
  <si>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</si>
  <si>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</si>
  <si>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</si>
  <si>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</si>
  <si>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</si>
  <si>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</si>
  <si>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</si>
  <si>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</si>
  <si>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</si>
  <si>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</si>
  <si>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</si>
  <si>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</si>
  <si>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</si>
  <si>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</si>
  <si>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</si>
  <si>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</si>
  <si>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</si>
  <si>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</si>
  <si>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</si>
  <si>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</si>
  <si>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</si>
  <si>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</si>
  <si>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</si>
  <si>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</si>
  <si>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</si>
  <si>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</si>
  <si>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</si>
  <si>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</si>
  <si>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</si>
  <si>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</si>
  <si>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</si>
  <si>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</si>
  <si>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</si>
  <si>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</si>
  <si>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</si>
  <si>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</si>
  <si>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</si>
  <si>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</si>
  <si>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</si>
  <si>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</si>
  <si>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</si>
  <si>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</si>
  <si>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</si>
  <si>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</si>
  <si>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</si>
  <si>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</si>
  <si>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</si>
  <si>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</si>
  <si>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</si>
  <si>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</si>
  <si>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</si>
  <si>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</si>
  <si>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</si>
  <si>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</si>
  <si>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</si>
  <si>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</si>
  <si>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</si>
  <si>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</si>
  <si>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</si>
  <si>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</si>
  <si>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</si>
  <si>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</si>
  <si>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</si>
  <si>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</si>
  <si>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</si>
  <si>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</si>
  <si>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</si>
  <si>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</si>
  <si>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</si>
  <si>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</si>
  <si>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</si>
  <si>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</si>
  <si>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</si>
  <si>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</si>
  <si>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</si>
  <si>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</si>
  <si>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</si>
  <si>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</si>
  <si>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</si>
  <si>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</si>
  <si>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</si>
  <si>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</si>
  <si>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</si>
  <si>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</si>
  <si>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</si>
  <si>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</si>
  <si>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</si>
  <si>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</si>
  <si>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</si>
  <si>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</si>
  <si>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</si>
  <si>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</si>
  <si>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</si>
  <si>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</si>
  <si>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</si>
  <si>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</si>
  <si>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</si>
  <si>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</si>
  <si>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</si>
  <si>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</si>
  <si>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</si>
  <si>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</si>
  <si>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</si>
  <si>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</si>
  <si>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</si>
  <si>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</si>
  <si>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</si>
  <si>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</si>
  <si>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</si>
  <si>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</si>
  <si>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</si>
  <si>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</si>
  <si>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</si>
  <si>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</si>
  <si>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</si>
  <si>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</si>
  <si>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</si>
  <si>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</si>
  <si>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</si>
  <si>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</si>
  <si>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</si>
  <si>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</si>
  <si>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</si>
  <si>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</si>
  <si>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</si>
  <si>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</si>
  <si>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</si>
  <si>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</si>
  <si>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</si>
  <si>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</si>
  <si>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</si>
  <si>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</si>
  <si>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</si>
  <si>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</si>
  <si>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</si>
  <si>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</si>
  <si>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</si>
  <si>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</si>
  <si>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</si>
  <si>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</si>
  <si>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</si>
  <si>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</si>
  <si>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</si>
  <si>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</si>
  <si>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</si>
  <si>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</si>
  <si>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</si>
  <si>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</si>
  <si>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</si>
  <si>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</si>
  <si>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</si>
  <si>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</si>
  <si>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</si>
  <si>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</si>
  <si>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</si>
  <si>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</si>
  <si>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</si>
  <si>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</si>
  <si>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</si>
  <si>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</si>
  <si>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</si>
  <si>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</si>
  <si>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</si>
  <si>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</si>
  <si>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</si>
  <si>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</si>
  <si>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</si>
  <si>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</si>
  <si>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</si>
  <si>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</si>
  <si>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</si>
  <si>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</si>
  <si>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</si>
  <si>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</si>
  <si>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</si>
  <si>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</si>
  <si>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</si>
  <si>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</si>
  <si>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</si>
  <si>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</si>
  <si>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</si>
  <si>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</si>
  <si>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</si>
  <si>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</si>
  <si>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</si>
  <si>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</si>
  <si>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</si>
  <si>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</si>
  <si>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</si>
  <si>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</si>
  <si>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</si>
  <si>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</si>
  <si>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</si>
  <si>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</si>
  <si>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</si>
  <si>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</si>
  <si>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</si>
  <si>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</si>
  <si>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</si>
  <si>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</si>
  <si>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</si>
  <si>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</si>
  <si>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</si>
  <si>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</si>
  <si>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</si>
  <si>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</si>
  <si>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</si>
  <si>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</si>
  <si>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</si>
  <si>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</si>
  <si>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</si>
  <si>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</si>
  <si>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</si>
  <si>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</si>
  <si>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</si>
  <si>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</si>
  <si>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</si>
  <si>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</si>
  <si>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</si>
  <si>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</si>
  <si>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</si>
  <si>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</si>
  <si>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</si>
  <si>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</si>
  <si>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</si>
  <si>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</si>
  <si>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</si>
  <si>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</si>
  <si>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</si>
  <si>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</si>
  <si>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</si>
  <si>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</si>
  <si>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</si>
  <si>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</si>
  <si>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</si>
  <si>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</si>
  <si>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</si>
  <si>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</si>
  <si>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</si>
  <si>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</si>
  <si>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</si>
  <si>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</si>
  <si>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</si>
  <si>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</si>
  <si>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</si>
  <si>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</si>
  <si>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</si>
  <si>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</si>
  <si>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</si>
  <si>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</si>
  <si>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</si>
  <si>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</si>
  <si>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</si>
  <si>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</si>
  <si>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</si>
  <si>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</si>
  <si>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</si>
  <si>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</si>
  <si>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</si>
  <si>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</si>
  <si>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北京市通州区台湖镇YZ00-0405-0078、0079、0081地块R2二类居住用地</t>
  </si>
  <si>
    <t>2018-02-06</t>
  </si>
  <si>
    <t>北京住总置业有限公司和北京住总房地产开发有限责任公司联合体</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</si>
  <si>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</si>
  <si>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</si>
  <si>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</si>
  <si>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</si>
  <si>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</si>
  <si>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</si>
  <si>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</si>
  <si>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</si>
  <si>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</si>
  <si>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</si>
  <si>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</si>
  <si>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</si>
  <si>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</si>
  <si>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</si>
  <si>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</si>
  <si>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</si>
  <si>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</si>
  <si>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</si>
  <si>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</si>
  <si>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</si>
  <si>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</si>
  <si>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</si>
  <si>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</si>
  <si>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通州区台湖镇北神树村B-30地块</t>
  </si>
  <si>
    <t>2017-03-28</t>
  </si>
  <si>
    <t>北京天恒正同资产管理有限公司</t>
  </si>
  <si>
    <t>顺义区后沙峪镇SY00-0022-0614地块</t>
  </si>
  <si>
    <t>2016-06-02</t>
  </si>
  <si>
    <t>福建宏辉房地产开发有限公司</t>
  </si>
  <si>
    <t>顺义区仁和镇05-02-15-1地块</t>
  </si>
  <si>
    <t>2015-12-28</t>
  </si>
  <si>
    <t>北京首开中晟置业有限责任公司</t>
  </si>
  <si>
    <t>通州区TZ07-0103-0012等地块、TZ07-0103-0027等地块、TZ07-0103-L001地块</t>
  </si>
  <si>
    <t>2015-12-03</t>
  </si>
  <si>
    <t>北京房地天锐鑫洋房地产开发有限公司</t>
  </si>
  <si>
    <t>欧红伟</t>
  </si>
  <si>
    <t>崔锴</t>
  </si>
  <si>
    <t>2018-1-0817-P01DYGJ1</t>
    <phoneticPr fontId="6" type="noConversion"/>
  </si>
  <si>
    <t>交通银行股份有限公司北京芳群园支行</t>
    <phoneticPr fontId="6" type="noConversion"/>
  </si>
  <si>
    <t>抵押</t>
  </si>
  <si>
    <t>抵押价格</t>
  </si>
  <si>
    <t>通州区台湖镇YZ00-0405-0078、0079、0081地块R2二类居住用地</t>
    <phoneticPr fontId="6" type="noConversion"/>
  </si>
  <si>
    <t>企业</t>
  </si>
  <si>
    <t>城镇住宅用地</t>
    <phoneticPr fontId="6" type="noConversion"/>
  </si>
  <si>
    <t>住宅</t>
    <phoneticPr fontId="6" type="noConversion"/>
  </si>
  <si>
    <t>《国有土地使用证》[京（2018）通不动产权第0000087、0000089、0000092号]</t>
    <phoneticPr fontId="6" type="noConversion"/>
  </si>
  <si>
    <t>一致</t>
  </si>
  <si>
    <t>出让</t>
  </si>
  <si>
    <t>商业</t>
  </si>
  <si>
    <t>地下仓储</t>
  </si>
  <si>
    <t>否</t>
  </si>
  <si>
    <t>《建设工程规划许可证》[2018规土（通）建字0031号]、《国有建设用地使用权出让合同》[电子监管号：1101002018B00580]</t>
    <phoneticPr fontId="3" type="noConversion"/>
  </si>
  <si>
    <t>《不动产权证书》[京（2018）通不动产权第0000087、0000089、0000092号]</t>
    <phoneticPr fontId="3" type="noConversion"/>
  </si>
  <si>
    <t>居住项目</t>
  </si>
  <si>
    <t>无</t>
  </si>
  <si>
    <t>全部为保障性住房</t>
  </si>
  <si>
    <t>场地平整</t>
  </si>
  <si>
    <t>平整</t>
  </si>
  <si>
    <t>通电</t>
  </si>
  <si>
    <t>通讯</t>
  </si>
  <si>
    <t>地上</t>
  </si>
  <si>
    <t>0078-01#住宅楼</t>
    <phoneticPr fontId="3" type="noConversion"/>
  </si>
  <si>
    <t>0078-02#住宅楼</t>
  </si>
  <si>
    <t>0078-03#住宅楼</t>
  </si>
  <si>
    <t>0079-01#住宅楼</t>
    <phoneticPr fontId="3" type="noConversion"/>
  </si>
  <si>
    <t>0079-02#住宅楼</t>
  </si>
  <si>
    <t>0079-03#住宅楼</t>
  </si>
  <si>
    <t>0081-01#住宅楼</t>
    <phoneticPr fontId="3" type="noConversion"/>
  </si>
  <si>
    <t>0081-02#住宅楼</t>
  </si>
  <si>
    <t>0081-03#住宅楼</t>
  </si>
  <si>
    <t>0078-CK01#地下车库</t>
    <phoneticPr fontId="3" type="noConversion"/>
  </si>
  <si>
    <t>普通住宅</t>
  </si>
  <si>
    <t>地下</t>
  </si>
  <si>
    <t>戊类库房</t>
  </si>
  <si>
    <t>车库</t>
  </si>
  <si>
    <t>0079-04#配套楼</t>
    <phoneticPr fontId="3" type="noConversion"/>
  </si>
  <si>
    <t>0079-CK01#地下车库</t>
    <phoneticPr fontId="3" type="noConversion"/>
  </si>
  <si>
    <t>0081-04#配套楼</t>
    <phoneticPr fontId="3" type="noConversion"/>
  </si>
  <si>
    <t>0081-05#配套楼</t>
  </si>
  <si>
    <t>0081-CK01#地下车库</t>
    <phoneticPr fontId="3" type="noConversion"/>
  </si>
  <si>
    <t>底商</t>
  </si>
  <si>
    <t>仓储</t>
  </si>
  <si>
    <t>共有产权住房</t>
  </si>
  <si>
    <t>共有产权住房</t>
    <phoneticPr fontId="7" type="noConversion"/>
  </si>
  <si>
    <t>商业</t>
    <phoneticPr fontId="7" type="noConversion"/>
  </si>
  <si>
    <t>仓储</t>
    <phoneticPr fontId="7" type="noConversion"/>
  </si>
  <si>
    <t>地下车库</t>
    <phoneticPr fontId="7" type="noConversion"/>
  </si>
  <si>
    <t>已部分缴纳</t>
  </si>
  <si>
    <t>正常</t>
  </si>
  <si>
    <t>住宅</t>
    <phoneticPr fontId="26"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</si>
  <si>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</si>
  <si>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</si>
  <si>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全部共有产权</t>
    <phoneticPr fontId="26" type="noConversion"/>
  </si>
  <si>
    <t>七通</t>
  </si>
  <si>
    <t>全部配建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</si>
  <si>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</si>
  <si>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</si>
  <si>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</si>
  <si>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</si>
  <si>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</si>
  <si>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</si>
  <si>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</si>
  <si>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</si>
  <si>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</si>
  <si>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</si>
  <si>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</si>
  <si>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</si>
  <si>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</si>
  <si>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</si>
  <si>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</si>
  <si>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</si>
  <si>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</si>
  <si>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</si>
  <si>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</si>
  <si>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</si>
  <si>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</si>
  <si>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</si>
  <si>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</si>
  <si>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</si>
  <si>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</si>
  <si>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五通</t>
  </si>
  <si>
    <t>四通</t>
  </si>
  <si>
    <t>三通</t>
  </si>
  <si>
    <t>钢混</t>
  </si>
  <si>
    <t>按租金收入计税</t>
  </si>
  <si>
    <t>押一</t>
  </si>
  <si>
    <t>土地（套用方法）</t>
  </si>
  <si>
    <t>楼面地价</t>
  </si>
  <si>
    <t>多面临街</t>
  </si>
  <si>
    <t>不动产收益法-仓储</t>
  </si>
  <si>
    <t>不动产收益法-仓储</t>
    <phoneticPr fontId="14" type="noConversion"/>
  </si>
  <si>
    <t>不动产收益法-商业</t>
  </si>
  <si>
    <t>不动产收益法-车库</t>
  </si>
  <si>
    <t>剩余法-待开发</t>
  </si>
  <si>
    <t>比较法-住宅、综合</t>
  </si>
  <si>
    <t>通上水</t>
  </si>
  <si>
    <t>北京住总通和房地产开发有限公司</t>
    <phoneticPr fontId="6" type="noConversion"/>
  </si>
  <si>
    <t>0078-04#配套楼</t>
    <phoneticPr fontId="3" type="noConversion"/>
  </si>
  <si>
    <t>全部自住型商品房</t>
    <phoneticPr fontId="26" type="noConversion"/>
  </si>
  <si>
    <t>自定义</t>
  </si>
  <si>
    <t>城市之光</t>
    <phoneticPr fontId="3" type="noConversion"/>
  </si>
  <si>
    <t>泰禾拾景园</t>
    <phoneticPr fontId="3" type="noConversion"/>
  </si>
  <si>
    <r>
      <rPr>
        <sz val="11"/>
        <color theme="9" tint="-0.249977111117893"/>
        <rFont val="仿宋_GB2312"/>
        <family val="3"/>
        <charset val="134"/>
      </rPr>
      <t>项目位置</t>
    </r>
    <phoneticPr fontId="3" type="noConversion"/>
  </si>
  <si>
    <t>简装</t>
  </si>
  <si>
    <t>专业</t>
  </si>
  <si>
    <t>平面车位</t>
  </si>
  <si>
    <r>
      <rPr>
        <sz val="11"/>
        <color indexed="8"/>
        <rFont val="仿宋_GB2312"/>
        <family val="3"/>
        <charset val="134"/>
      </rPr>
      <t>正常</t>
    </r>
    <phoneticPr fontId="3" type="noConversion"/>
  </si>
  <si>
    <t>40-50（含）</t>
  </si>
  <si>
    <r>
      <rPr>
        <sz val="11"/>
        <color indexed="8"/>
        <rFont val="仿宋_GB2312"/>
        <family val="3"/>
        <charset val="134"/>
      </rPr>
      <t>正常</t>
    </r>
    <phoneticPr fontId="3" type="noConversion"/>
  </si>
  <si>
    <t>车库</t>
    <phoneticPr fontId="27" type="noConversion"/>
  </si>
  <si>
    <t>精装修</t>
  </si>
  <si>
    <t>普通装修</t>
  </si>
  <si>
    <t>毛坯</t>
  </si>
  <si>
    <t>专业</t>
    <phoneticPr fontId="3" type="noConversion"/>
  </si>
  <si>
    <t>普通</t>
    <phoneticPr fontId="3" type="noConversion"/>
  </si>
  <si>
    <t>立体车位</t>
    <phoneticPr fontId="3" type="noConversion"/>
  </si>
  <si>
    <t>平面车位</t>
    <phoneticPr fontId="3" type="noConversion"/>
  </si>
  <si>
    <t>是</t>
    <phoneticPr fontId="3" type="noConversion"/>
  </si>
  <si>
    <t>否</t>
    <phoneticPr fontId="3" type="noConversion"/>
  </si>
  <si>
    <t>售价</t>
  </si>
  <si>
    <t>通和家园</t>
    <phoneticPr fontId="3" type="noConversion"/>
  </si>
  <si>
    <t>泰禾1号街区</t>
    <phoneticPr fontId="3" type="noConversion"/>
  </si>
  <si>
    <t>居住用地（指二类居住用地）</t>
  </si>
  <si>
    <t>估价对象容积率</t>
  </si>
  <si>
    <t>不临58条商业街</t>
  </si>
  <si>
    <t>1000米以外</t>
  </si>
  <si>
    <t>三通一平</t>
  </si>
  <si>
    <t>缺少</t>
  </si>
  <si>
    <t>通路</t>
  </si>
  <si>
    <t>通下水</t>
  </si>
  <si>
    <t>容积率修正</t>
  </si>
  <si>
    <t>Ⅷ-亦1</t>
  </si>
  <si>
    <t>较差</t>
  </si>
  <si>
    <t>好</t>
  </si>
  <si>
    <t>批发零售用地</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</si>
  <si>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</si>
  <si>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t>基准地价-商业</t>
  </si>
  <si>
    <t>合计</t>
    <phoneticPr fontId="233" type="noConversion"/>
  </si>
  <si>
    <t>小计</t>
    <phoneticPr fontId="233" type="noConversion"/>
  </si>
  <si>
    <t>建筑面积</t>
    <phoneticPr fontId="233" type="noConversion"/>
  </si>
  <si>
    <t>经营性用途</t>
    <phoneticPr fontId="233" type="noConversion"/>
  </si>
  <si>
    <t>共有产权住房</t>
    <phoneticPr fontId="233" type="noConversion"/>
  </si>
  <si>
    <t>商业</t>
    <phoneticPr fontId="233" type="noConversion"/>
  </si>
  <si>
    <t>地下仓储</t>
    <phoneticPr fontId="233" type="noConversion"/>
  </si>
  <si>
    <t>地下车库</t>
    <phoneticPr fontId="233" type="noConversion"/>
  </si>
  <si>
    <t>非经营性用途</t>
    <phoneticPr fontId="233" type="noConversion"/>
  </si>
  <si>
    <t>地上公共配套用房</t>
    <phoneticPr fontId="233" type="noConversion"/>
  </si>
  <si>
    <t>地下公共配套用房</t>
    <phoneticPr fontId="233" type="noConversion"/>
  </si>
  <si>
    <t>地上物业管理用房</t>
    <phoneticPr fontId="233" type="noConversion"/>
  </si>
  <si>
    <t>地上设备及其他用房</t>
    <phoneticPr fontId="233" type="noConversion"/>
  </si>
  <si>
    <t>地下设备及其他用房</t>
    <phoneticPr fontId="233" type="noConversion"/>
  </si>
  <si>
    <t>合计</t>
    <phoneticPr fontId="233" type="noConversion"/>
  </si>
  <si>
    <t>估价对象周边道路状况一般，周边有820路;986路;郊87路等多条公交线路及地铁亦庄线经过，路网密集度一般，综合考虑估价对象交通便捷度较好。</t>
    <phoneticPr fontId="3" type="noConversion"/>
  </si>
  <si>
    <t>估价对象周边2公里内有亦庄湿地公园等，综合考虑自然及人文环境一般。</t>
    <phoneticPr fontId="3" type="noConversion"/>
  </si>
  <si>
    <t>估价对象所在区域基础设施水平达七通。</t>
    <phoneticPr fontId="3" type="noConversion"/>
  </si>
  <si>
    <t>估价对象周边居住社区成熟度一般，有次渠家园东里等居住社区。</t>
    <phoneticPr fontId="3" type="noConversion"/>
  </si>
  <si>
    <t>估价对象周边商业氛围一般，无大型购物中心，人流量一般，商业繁华度一般。</t>
    <phoneticPr fontId="3" type="noConversion"/>
  </si>
  <si>
    <t>——</t>
    <phoneticPr fontId="3" type="noConversion"/>
  </si>
  <si>
    <t>区域土地利用方向基本一致</t>
    <phoneticPr fontId="26" type="noConversion"/>
  </si>
  <si>
    <t>区域土地利用方向一致程度一般，有其他用地</t>
    <phoneticPr fontId="26" type="noConversion"/>
  </si>
  <si>
    <t>周边分布银行、购物场所、餐饮等配套设施较多，公共设施状况较好</t>
    <phoneticPr fontId="26" type="noConversion"/>
  </si>
  <si>
    <t>周边有蓝星花园、空港吉祥花园等住宅小区，综合考虑估价对象居住社区成熟度较好</t>
    <phoneticPr fontId="26" type="noConversion"/>
  </si>
  <si>
    <r>
      <rPr>
        <sz val="11"/>
        <rFont val="宋体"/>
        <family val="3"/>
        <charset val="134"/>
      </rPr>
      <t>周边道路状况较好，周边有</t>
    </r>
    <r>
      <rPr>
        <sz val="11"/>
        <rFont val="Arial"/>
        <family val="2"/>
      </rPr>
      <t>637</t>
    </r>
    <r>
      <rPr>
        <sz val="11"/>
        <rFont val="宋体"/>
        <family val="3"/>
        <charset val="134"/>
      </rPr>
      <t>路、</t>
    </r>
    <r>
      <rPr>
        <sz val="11"/>
        <rFont val="Arial"/>
        <family val="2"/>
      </rPr>
      <t>820</t>
    </r>
    <r>
      <rPr>
        <sz val="11"/>
        <rFont val="宋体"/>
        <family val="3"/>
        <charset val="134"/>
      </rPr>
      <t>路、</t>
    </r>
    <r>
      <rPr>
        <sz val="11"/>
        <rFont val="Arial"/>
        <family val="2"/>
      </rPr>
      <t>986</t>
    </r>
    <r>
      <rPr>
        <sz val="11"/>
        <rFont val="宋体"/>
        <family val="3"/>
        <charset val="134"/>
      </rPr>
      <t>路等多条公交线路，路网较密集，综合考虑估价对象交通便捷度较好</t>
    </r>
    <phoneticPr fontId="26" type="noConversion"/>
  </si>
  <si>
    <t>估价对象所在区域基础设施水平达七通</t>
    <phoneticPr fontId="26" type="noConversion"/>
  </si>
  <si>
    <t>周边有珠江拉维小镇、李庄佳苑等住宅小区，综合考虑估价对象居住社区成熟度较好</t>
    <phoneticPr fontId="26" type="noConversion"/>
  </si>
  <si>
    <t>周边有泰禾拾景园、阳光城京兆府等住宅小区，综合考虑估价对象居住社区成熟度较好</t>
    <phoneticPr fontId="26" type="noConversion"/>
  </si>
  <si>
    <r>
      <rPr>
        <sz val="11"/>
        <rFont val="宋体"/>
        <family val="3"/>
        <charset val="134"/>
      </rPr>
      <t>周边</t>
    </r>
    <r>
      <rPr>
        <sz val="11"/>
        <rFont val="Arial"/>
        <family val="2"/>
      </rPr>
      <t>2</t>
    </r>
    <r>
      <rPr>
        <sz val="11"/>
        <rFont val="宋体"/>
        <family val="3"/>
        <charset val="134"/>
      </rPr>
      <t>公里内有马家湾湿地公园等，综合考虑自然及人文环境一般</t>
    </r>
    <phoneticPr fontId="26" type="noConversion"/>
  </si>
  <si>
    <t>周边分布银行、购物场所、餐饮等配套设施较多，公共设施状况较好</t>
    <phoneticPr fontId="26" type="noConversion"/>
  </si>
  <si>
    <r>
      <rPr>
        <sz val="11"/>
        <rFont val="宋体"/>
        <family val="3"/>
        <charset val="134"/>
      </rPr>
      <t>周边道路状况较好，周边有</t>
    </r>
    <r>
      <rPr>
        <sz val="11"/>
        <rFont val="Arial"/>
        <family val="2"/>
      </rPr>
      <t>552</t>
    </r>
    <r>
      <rPr>
        <sz val="11"/>
        <rFont val="宋体"/>
        <family val="3"/>
        <charset val="134"/>
      </rPr>
      <t>路、</t>
    </r>
    <r>
      <rPr>
        <sz val="11"/>
        <rFont val="Arial"/>
        <family val="2"/>
      </rPr>
      <t>675</t>
    </r>
    <r>
      <rPr>
        <sz val="11"/>
        <rFont val="宋体"/>
        <family val="3"/>
        <charset val="134"/>
      </rPr>
      <t>路、</t>
    </r>
    <r>
      <rPr>
        <sz val="11"/>
        <rFont val="Arial"/>
        <family val="2"/>
      </rPr>
      <t>824</t>
    </r>
    <r>
      <rPr>
        <sz val="11"/>
        <rFont val="宋体"/>
        <family val="3"/>
        <charset val="134"/>
      </rPr>
      <t>路等多条公交线路，路网较密集，综合考虑估价对象交通便捷度较好</t>
    </r>
    <phoneticPr fontId="26" type="noConversion"/>
  </si>
  <si>
    <r>
      <rPr>
        <sz val="11"/>
        <rFont val="宋体"/>
        <family val="3"/>
        <charset val="134"/>
      </rPr>
      <t>周边道路状况较好，周边有顺</t>
    </r>
    <r>
      <rPr>
        <sz val="11"/>
        <rFont val="Arial"/>
        <family val="2"/>
      </rPr>
      <t>28</t>
    </r>
    <r>
      <rPr>
        <sz val="11"/>
        <rFont val="宋体"/>
        <family val="3"/>
        <charset val="134"/>
      </rPr>
      <t>路、顺</t>
    </r>
    <r>
      <rPr>
        <sz val="11"/>
        <rFont val="Arial"/>
        <family val="2"/>
      </rPr>
      <t>57</t>
    </r>
    <r>
      <rPr>
        <sz val="11"/>
        <rFont val="宋体"/>
        <family val="3"/>
        <charset val="134"/>
      </rPr>
      <t>路等多条公交线路及地铁</t>
    </r>
    <r>
      <rPr>
        <sz val="11"/>
        <rFont val="Arial"/>
        <family val="2"/>
      </rPr>
      <t>15</t>
    </r>
    <r>
      <rPr>
        <sz val="11"/>
        <rFont val="宋体"/>
        <family val="3"/>
        <charset val="134"/>
      </rPr>
      <t>号线经过，路网较密集，综合考虑估价对象交通便捷度较好</t>
    </r>
    <phoneticPr fontId="26" type="noConversion"/>
  </si>
  <si>
    <r>
      <rPr>
        <sz val="11"/>
        <rFont val="宋体"/>
        <family val="3"/>
        <charset val="134"/>
      </rPr>
      <t>周边</t>
    </r>
    <r>
      <rPr>
        <sz val="11"/>
        <rFont val="Arial"/>
        <family val="2"/>
      </rPr>
      <t>2</t>
    </r>
    <r>
      <rPr>
        <sz val="11"/>
        <rFont val="宋体"/>
        <family val="3"/>
        <charset val="134"/>
      </rPr>
      <t>公里内有中坝河、宋庄文化公园等，综合考虑自然及人文环境一般</t>
    </r>
    <phoneticPr fontId="26" type="noConversion"/>
  </si>
  <si>
    <r>
      <rPr>
        <sz val="11"/>
        <rFont val="宋体"/>
        <family val="3"/>
        <charset val="134"/>
      </rPr>
      <t>周边</t>
    </r>
    <r>
      <rPr>
        <sz val="11"/>
        <rFont val="Arial"/>
        <family val="2"/>
      </rPr>
      <t>2</t>
    </r>
    <r>
      <rPr>
        <sz val="11"/>
        <rFont val="宋体"/>
        <family val="3"/>
        <charset val="134"/>
      </rPr>
      <t>公里内有中国国际展览馆中心等，综合考虑自然及人文环境一般</t>
    </r>
    <phoneticPr fontId="26"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</si>
</sst>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7" borderId="0" xfId="0" applyFill="1" applyAlignment="1"/>
    <xf numFmtId="0" fontId="277" fillId="6" borderId="0" xfId="0" applyFont="1" applyFill="1" applyAlignment="1"/>
    <xf numFmtId="14" fontId="78" fillId="0" borderId="0" xfId="0" applyNumberFormat="1" applyFont="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177" fontId="153" fillId="6" borderId="2" xfId="0" applyNumberFormat="1" applyFont="1" applyFill="1" applyBorder="1" applyAlignment="1" applyProtection="1">
      <alignment vertical="center" wrapText="1"/>
      <protection locked="0"/>
    </xf>
    <xf numFmtId="0" fontId="153" fillId="6" borderId="11"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177" fontId="0" fillId="0" borderId="0" xfId="0" applyNumberFormat="1">
      <alignment vertical="center"/>
    </xf>
    <xf numFmtId="0" fontId="145" fillId="0" borderId="0" xfId="0" applyFont="1" applyAlignment="1">
      <alignment vertical="center" wrapText="1"/>
    </xf>
    <xf numFmtId="0" fontId="148" fillId="0" borderId="3" xfId="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3</xdr:col>
      <xdr:colOff>608972</xdr:colOff>
      <xdr:row>46</xdr:row>
      <xdr:rowOff>113691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3124200"/>
          <a:ext cx="5028572"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sqref="A1:XFD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北京市通州区台湖镇YZ00-0405-0078、0079、0081地块R2二类居住用地出让国有建设用地使用权抵押价格预评估</v>
      </c>
      <c r="AX2" s="2896"/>
      <c r="AZ2" s="2896"/>
      <c r="BA2" s="2897"/>
      <c r="BC2" s="2897"/>
    </row>
    <row r="3" spans="1:55" s="2898" customFormat="1">
      <c r="A3" s="2877" t="s">
        <v>2658</v>
      </c>
      <c r="B3" s="2880" t="str">
        <f>'预评函-封皮'!B40</f>
        <v>北京住总通和房地产开发有限公司</v>
      </c>
    </row>
    <row r="4" spans="1:55" s="2879" customFormat="1">
      <c r="A4" s="2877" t="s">
        <v>2659</v>
      </c>
      <c r="B4" s="2878" t="str">
        <f>'预评函-封皮'!B46</f>
        <v>欧红伟、崔锴</v>
      </c>
      <c r="N4" s="2879" t="str">
        <f>'预评函-1'!A28</f>
        <v/>
      </c>
    </row>
    <row r="5" spans="1:55" s="2892" customFormat="1" ht="15" thickBot="1">
      <c r="A5" s="2899" t="s">
        <v>2660</v>
      </c>
      <c r="B5" s="2900" t="str">
        <f>'预评函-封皮'!B49</f>
        <v>康正预评字2018-1-0817-P01DYGJ1号</v>
      </c>
    </row>
    <row r="6" spans="1:55" s="2901" customFormat="1" ht="15" thickTop="1">
      <c r="A6" s="2893" t="s">
        <v>2702</v>
      </c>
      <c r="B6" s="2894" t="str">
        <f>'预评函-1'!A4</f>
        <v>受贵公司委托，我公司对北京市通州区台湖镇YZ00-0405-0078、0079、0081地块R2二类居住用地出让国有建设用地使用权抵押价格进行了预评估。</v>
      </c>
      <c r="AM6" s="2902"/>
    </row>
    <row r="7" spans="1:55" s="2876" customFormat="1">
      <c r="A7" s="2877" t="s">
        <v>2654</v>
      </c>
      <c r="B7" s="2878" t="str">
        <f>'预评函-1'!A6</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2018年11月23日（评估专业人员勘察现场之日）</v>
      </c>
    </row>
    <row r="11" spans="1:55" s="2876" customFormat="1">
      <c r="A11" s="2877" t="s">
        <v>2662</v>
      </c>
      <c r="B11" s="2878" t="str">
        <f>'预评函-1'!A14</f>
        <v>根据《国有土地使用证》[京（2018）通不动产权第0000087、0000089、0000092号]，本次评估估价对象证载（地类）用途为城镇住宅用地。</v>
      </c>
    </row>
    <row r="12" spans="1:55" s="2876" customFormat="1">
      <c r="A12" s="2877" t="s">
        <v>2663</v>
      </c>
      <c r="B12" s="2878" t="str">
        <f>'预评函-1'!A15</f>
        <v>本次评估设定用途即为证载用途住宅。</v>
      </c>
    </row>
    <row r="13" spans="1:55" s="2876" customFormat="1">
      <c r="A13" s="2877" t="s">
        <v>2664</v>
      </c>
      <c r="B13" s="2878" t="str">
        <f>'预评函-1'!A17</f>
        <v>根据委托估价方介绍及评估专业人员现场勘查，本次评估估价对象实际土地开发程度为红线外市政基础设施达“七通”（即通上水、通电、通讯、、、、）、宗地红线内场地平整。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16" spans="1:55" s="2876" customFormat="1">
      <c r="A16" s="2877" t="s">
        <v>2666</v>
      </c>
      <c r="B16" s="2878" t="str">
        <f>'预评函-1'!A22</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估价期日：2018年11月23日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城镇住宅用地</v>
      </c>
      <c r="AV32" s="2882"/>
    </row>
    <row r="33" spans="1:2">
      <c r="A33" s="2877" t="s">
        <v>2710</v>
      </c>
      <c r="B33" s="2878">
        <f>'预评函-2'!F5</f>
        <v>258</v>
      </c>
    </row>
    <row r="34" spans="1:2">
      <c r="A34" s="2877" t="s">
        <v>2711</v>
      </c>
      <c r="B34" s="2878" t="str">
        <f>'预评函-2'!G5</f>
        <v>住宅</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33824.92</v>
      </c>
    </row>
    <row r="44" spans="1:2">
      <c r="A44" s="2877" t="s">
        <v>2737</v>
      </c>
      <c r="B44" s="2878" t="str">
        <f>'预评函-2'!O3</f>
        <v>规划建筑面积/㎡</v>
      </c>
    </row>
    <row r="45" spans="1:2">
      <c r="A45" s="2877" t="s">
        <v>2719</v>
      </c>
      <c r="B45" s="2878">
        <f>'预评函-2'!O5</f>
        <v>124921.5</v>
      </c>
    </row>
    <row r="46" spans="1:2">
      <c r="A46" s="2877" t="s">
        <v>2720</v>
      </c>
      <c r="B46" s="2878">
        <f ca="1">'预评函-2'!P5</f>
        <v>44416</v>
      </c>
    </row>
    <row r="47" spans="1:2">
      <c r="A47" s="2877" t="s">
        <v>2721</v>
      </c>
      <c r="B47" s="2878">
        <f ca="1">'预评函-2'!Q5</f>
        <v>12027</v>
      </c>
    </row>
    <row r="48" spans="1:2">
      <c r="A48" s="2877" t="s">
        <v>2722</v>
      </c>
      <c r="B48" s="2878">
        <f ca="1">'预评函-2'!R5</f>
        <v>150237</v>
      </c>
    </row>
    <row r="49" spans="1:2">
      <c r="A49" s="2877" t="s">
        <v>2738</v>
      </c>
      <c r="B49" s="2878" t="str">
        <f>'预评函-2'!A6</f>
        <v>抵押价格</v>
      </c>
    </row>
    <row r="50" spans="1:2">
      <c r="A50" s="2877" t="s">
        <v>2723</v>
      </c>
      <c r="B50" s="2878">
        <f ca="1">'预评函-2'!R6</f>
        <v>150237</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3.估价规划限制条件：详见《建设工程规划许可证》[2018规土（通）建字0031号]、《国有建设用地使用权出让合同》[电子监管号：1101002018B00580]。</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欧红伟</v>
      </c>
    </row>
    <row r="70" spans="1:2">
      <c r="A70" s="2877" t="s">
        <v>2687</v>
      </c>
      <c r="B70" s="2884">
        <f ca="1">'预评函-3'!B20</f>
        <v>2000110082</v>
      </c>
    </row>
    <row r="71" spans="1:2">
      <c r="A71" s="2877" t="s">
        <v>2688</v>
      </c>
      <c r="B71" s="2878" t="str">
        <f>'预评函-3'!A21</f>
        <v>崔锴</v>
      </c>
    </row>
    <row r="72" spans="1:2" s="2892" customFormat="1" ht="15" thickBot="1">
      <c r="A72" s="2899" t="s">
        <v>2688</v>
      </c>
      <c r="B72" s="2905">
        <f ca="1">'预评函-3'!B21</f>
        <v>2010110070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22" zoomScale="90" zoomScaleNormal="100" zoomScaleSheetLayoutView="90" workbookViewId="0">
      <selection activeCell="E50" sqref="E50"/>
    </sheetView>
  </sheetViews>
  <sheetFormatPr defaultColWidth="10" defaultRowHeight="14.25"/>
  <cols>
    <col min="1" max="1" width="15.375" style="1690" customWidth="1"/>
    <col min="2" max="2" width="11.375" style="1690" customWidth="1"/>
    <col min="3" max="3" width="14.1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30" t="str">
        <f>IF(B10="北京市","北京市",C10)&amp;F10&amp;B16&amp;"国有建设用地使用权"&amp;B9&amp;"预评估"</f>
        <v>北京市通州区台湖镇YZ00-0405-0078、0079、0081地块R2二类居住用地出让国有建设用地使用权抵押价格预评估</v>
      </c>
      <c r="C1" s="3231"/>
      <c r="D1" s="3231"/>
      <c r="E1" s="3231"/>
      <c r="F1" s="3231"/>
      <c r="G1" s="3231"/>
      <c r="H1" s="3231"/>
      <c r="I1" s="3232"/>
      <c r="J1" s="1693"/>
      <c r="K1" s="2454" t="str">
        <f>IF(B10="北京市","北京市",C10)&amp;F10&amp;B16&amp;"国有建设用地使用权"&amp;B9</f>
        <v>北京市通州区台湖镇YZ00-0405-0078、0079、0081地块R2二类居住用地出让国有建设用地使用权抵押价格</v>
      </c>
      <c r="L1" s="1722"/>
      <c r="M1" s="1722"/>
      <c r="N1" s="1693"/>
      <c r="O1" s="1694"/>
      <c r="P1" s="1693"/>
      <c r="Q1" s="1693"/>
      <c r="R1" s="1693"/>
      <c r="S1" s="1693"/>
      <c r="T1" s="1693"/>
      <c r="U1" s="1693"/>
    </row>
    <row r="2" spans="1:21">
      <c r="A2" s="1659" t="s">
        <v>1937</v>
      </c>
      <c r="B2" s="3184" t="s">
        <v>3036</v>
      </c>
      <c r="D2" s="1693"/>
      <c r="E2" s="1693"/>
      <c r="F2" s="1693"/>
      <c r="G2" s="1693"/>
      <c r="H2" s="1659"/>
      <c r="I2" s="1694"/>
      <c r="J2" s="1693"/>
      <c r="K2" s="2454" t="str">
        <f>IF(B10="北京市","北京市",C10)&amp;F10&amp;B16&amp;"国有建设用地使用权"</f>
        <v>北京市通州区台湖镇YZ00-0405-0078、0079、0081地块R2二类居住用地出让国有建设用地使用权</v>
      </c>
      <c r="L2" s="1722"/>
      <c r="M2" s="1722"/>
      <c r="N2" s="1693"/>
      <c r="O2" s="1694"/>
      <c r="P2" s="1693"/>
      <c r="Q2" s="1693"/>
      <c r="R2" s="1693"/>
      <c r="S2" s="1693"/>
      <c r="T2" s="1693"/>
      <c r="U2" s="1693"/>
    </row>
    <row r="3" spans="1:21">
      <c r="A3" s="1660" t="s">
        <v>1938</v>
      </c>
      <c r="B3" s="1661">
        <v>43427</v>
      </c>
      <c r="C3" s="1662" t="s">
        <v>1994</v>
      </c>
      <c r="D3" s="1661">
        <f>B3</f>
        <v>43427</v>
      </c>
      <c r="E3" s="1693"/>
      <c r="F3" s="1693"/>
      <c r="G3" s="1693"/>
      <c r="H3" s="1659"/>
      <c r="I3" s="1694"/>
      <c r="J3" s="1693"/>
      <c r="K3" s="1773"/>
      <c r="L3" s="1722"/>
      <c r="M3" s="1722"/>
      <c r="N3" s="1693"/>
      <c r="O3" s="1694"/>
      <c r="P3" s="1693"/>
      <c r="Q3" s="1693"/>
      <c r="R3" s="1693"/>
      <c r="S3" s="1693"/>
      <c r="T3" s="1693"/>
      <c r="U3" s="1693"/>
    </row>
    <row r="4" spans="1:21" ht="15" thickBot="1">
      <c r="A4" s="1663" t="s">
        <v>1939</v>
      </c>
      <c r="B4" s="1841" t="s">
        <v>3034</v>
      </c>
      <c r="C4" s="1844">
        <f ca="1">SUMIF(土地估价师,B4,估价师及机构信息!E3:E24)</f>
        <v>2000110082</v>
      </c>
      <c r="D4" s="1841" t="s">
        <v>3035</v>
      </c>
      <c r="E4" s="1844">
        <f ca="1">SUMIF(土地估价师,D4,估价师及机构信息!E3:E24)</f>
        <v>2010110070</v>
      </c>
      <c r="F4" s="1841" t="s">
        <v>948</v>
      </c>
      <c r="G4" s="1844">
        <f>SUMIF(土地估价师,F4,估价师及机构信息!E3:E24)</f>
        <v>0</v>
      </c>
      <c r="H4" s="1841" t="s">
        <v>948</v>
      </c>
      <c r="I4" s="1844">
        <f>SUMIF(土地估价师,H4,估价师及机构信息!E3:E24)</f>
        <v>0</v>
      </c>
      <c r="J4" s="1693"/>
      <c r="K4" s="2454" t="str">
        <f>IF(AND(F4="——",H4="——"),B4&amp;"、"&amp;D4,IF(AND(F4&lt;&gt;"——",H4="——"),B4&amp;"、"&amp;D4&amp;"、"&amp;F4,B4&amp;"、"&amp;D4&amp;"、"&amp;F4&amp;"、"&amp;H4))</f>
        <v>欧红伟、崔锴</v>
      </c>
      <c r="L4" s="1722"/>
      <c r="M4" s="1722"/>
      <c r="N4" s="1693"/>
      <c r="O4" s="1694"/>
      <c r="P4" s="1693"/>
      <c r="Q4" s="1693"/>
      <c r="R4" s="1693"/>
      <c r="S4" s="1693"/>
      <c r="T4" s="1693"/>
      <c r="U4" s="1693"/>
    </row>
    <row r="5" spans="1:21" ht="15" thickTop="1">
      <c r="A5" s="1664" t="s">
        <v>1940</v>
      </c>
      <c r="B5" s="1788" t="s">
        <v>3135</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3037</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3038</v>
      </c>
      <c r="C8" s="1670"/>
      <c r="D8" s="3236" t="s">
        <v>1943</v>
      </c>
      <c r="E8" s="1842" t="s">
        <v>3039</v>
      </c>
      <c r="F8" s="1671"/>
      <c r="G8" s="1659"/>
      <c r="H8" s="1659"/>
      <c r="I8" s="1706"/>
      <c r="J8" s="1693"/>
      <c r="K8" s="1773"/>
      <c r="L8" s="1722"/>
      <c r="M8" s="1722"/>
      <c r="N8" s="1693"/>
      <c r="O8" s="1694"/>
      <c r="P8" s="1693"/>
      <c r="Q8" s="1693"/>
      <c r="R8" s="1693"/>
      <c r="S8" s="1693"/>
      <c r="T8" s="1693"/>
      <c r="U8" s="1693"/>
    </row>
    <row r="9" spans="1:21" ht="15" thickBot="1">
      <c r="A9" s="1672" t="s">
        <v>1942</v>
      </c>
      <c r="B9" s="1673" t="s">
        <v>3039</v>
      </c>
      <c r="C9" s="1674"/>
      <c r="D9" s="3237"/>
      <c r="E9" s="1673" t="s">
        <v>948</v>
      </c>
      <c r="F9" s="1746"/>
      <c r="G9" s="1741"/>
      <c r="H9" s="1741"/>
      <c r="I9" s="1742"/>
      <c r="J9" s="1693"/>
      <c r="K9" s="1773"/>
      <c r="L9" s="1722"/>
      <c r="M9" s="1722"/>
      <c r="N9" s="1693"/>
      <c r="O9" s="1694"/>
      <c r="P9" s="1693"/>
      <c r="Q9" s="1693"/>
      <c r="R9" s="1693"/>
      <c r="S9" s="1693"/>
      <c r="T9" s="1693"/>
      <c r="U9" s="1693"/>
    </row>
    <row r="10" spans="1:21" ht="15" thickTop="1">
      <c r="A10" s="1743" t="s">
        <v>1997</v>
      </c>
      <c r="B10" s="1718" t="s">
        <v>1944</v>
      </c>
      <c r="C10" s="1675"/>
      <c r="D10" s="1666"/>
      <c r="E10" s="1676" t="s">
        <v>1945</v>
      </c>
      <c r="F10" s="1677" t="s">
        <v>3040</v>
      </c>
      <c r="G10" s="1744"/>
      <c r="H10" s="1745"/>
      <c r="I10" s="1666"/>
      <c r="J10" s="1693"/>
      <c r="K10" s="1773"/>
      <c r="L10" s="1722"/>
      <c r="M10" s="1722"/>
      <c r="N10" s="1693"/>
      <c r="O10" s="1694"/>
      <c r="P10" s="1693"/>
      <c r="Q10" s="1693"/>
      <c r="R10" s="1693"/>
      <c r="S10" s="1693"/>
      <c r="T10" s="1693"/>
      <c r="U10" s="1693"/>
    </row>
    <row r="11" spans="1:21" ht="42.75">
      <c r="A11" s="1696" t="s">
        <v>1998</v>
      </c>
      <c r="B11" s="1697" t="s">
        <v>3041</v>
      </c>
      <c r="C11" s="1678" t="str">
        <f>B5</f>
        <v>北京住总通和房地产开发有限公司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33" t="s">
        <v>3042</v>
      </c>
      <c r="C12" s="3234"/>
      <c r="D12" s="3235"/>
      <c r="E12" s="1698" t="s">
        <v>2059</v>
      </c>
      <c r="F12" s="3251" t="s">
        <v>3044</v>
      </c>
      <c r="G12" s="3252"/>
      <c r="H12" s="3252"/>
      <c r="I12" s="3253"/>
      <c r="J12" s="1693"/>
      <c r="K12" s="1773"/>
      <c r="L12" s="1722"/>
      <c r="M12" s="1722"/>
      <c r="N12" s="1693"/>
      <c r="O12" s="1694"/>
      <c r="P12" s="1693"/>
      <c r="Q12" s="1693"/>
      <c r="R12" s="1693"/>
      <c r="S12" s="1693"/>
      <c r="T12" s="1693"/>
      <c r="U12" s="1693"/>
    </row>
    <row r="13" spans="1:21">
      <c r="A13" s="1686" t="s">
        <v>2057</v>
      </c>
      <c r="B13" s="3233" t="s">
        <v>3043</v>
      </c>
      <c r="C13" s="3234"/>
      <c r="D13" s="3235"/>
      <c r="E13" s="1698" t="s">
        <v>2059</v>
      </c>
      <c r="F13" s="3251"/>
      <c r="G13" s="3252"/>
      <c r="H13" s="3252"/>
      <c r="I13" s="3253"/>
      <c r="J13" s="1693"/>
      <c r="K13" s="1773"/>
      <c r="L13" s="1722"/>
      <c r="M13" s="1722"/>
      <c r="N13" s="1693"/>
      <c r="O13" s="1694"/>
      <c r="P13" s="1693"/>
      <c r="Q13" s="1693"/>
      <c r="R13" s="1693"/>
      <c r="S13" s="1693"/>
      <c r="T13" s="1693"/>
      <c r="U13" s="1693"/>
    </row>
    <row r="14" spans="1:21">
      <c r="A14" s="1660" t="s">
        <v>2060</v>
      </c>
      <c r="B14" s="1698"/>
      <c r="C14" s="1843" t="s">
        <v>3045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3046</v>
      </c>
      <c r="C16" s="1698" t="s">
        <v>1947</v>
      </c>
      <c r="D16" s="2645" t="s">
        <v>1948</v>
      </c>
      <c r="E16" s="1721" t="s">
        <v>3047</v>
      </c>
      <c r="F16" s="1721"/>
      <c r="G16" s="1721" t="s">
        <v>35</v>
      </c>
      <c r="H16" s="1721" t="s">
        <v>3048</v>
      </c>
      <c r="I16" s="1685" t="s">
        <v>1953</v>
      </c>
      <c r="J16" s="1693"/>
      <c r="K16" s="2455" t="str">
        <f>IF(D17="","",D16&amp;TEXT(D17,"yyyy年m月d日;;"))</f>
        <v>住宅2088年3月22日</v>
      </c>
      <c r="L16" s="1698" t="str">
        <f>IF(OR(K16="",M16=""),"","、")</f>
        <v>、</v>
      </c>
      <c r="M16" s="2455" t="str">
        <f>IF(E17="","",E16&amp;TEXT(E17,"yyyy年m月d日;;"))</f>
        <v>商业2058年3月22日</v>
      </c>
      <c r="N16" s="1698" t="str">
        <f>IF(OR(M16="",O16=""),"","、")</f>
        <v/>
      </c>
      <c r="O16" s="2455" t="str">
        <f>IF(F17="","",F16&amp;TEXT(F17,"yyyy年m月d日;;"))</f>
        <v/>
      </c>
      <c r="P16" s="1698" t="str">
        <f>IF(OR(O16="",Q16=""),"","、")</f>
        <v/>
      </c>
      <c r="Q16" s="2455" t="str">
        <f>IF(G17="","",G16&amp;TEXT(G17,"yyyy年m月d日;;"))</f>
        <v>地下车库2068年3月22日</v>
      </c>
      <c r="R16" s="1698" t="str">
        <f>IF(OR(Q16="",S16=""),"","、")</f>
        <v>、</v>
      </c>
      <c r="S16" s="2455" t="str">
        <f>IF(H17="","",H16&amp;TEXT(H17,"yyyy年m月d日;;"))</f>
        <v>地下仓储2068年3月22日</v>
      </c>
      <c r="T16" s="1698" t="str">
        <f>IF(OR(S16="",U16=""),"","、")</f>
        <v/>
      </c>
      <c r="U16" s="2455" t="str">
        <f>IF(I17="","",I16&amp;TEXT(I17,"yyyy年m月d日;;"))</f>
        <v/>
      </c>
    </row>
    <row r="17" spans="1:21">
      <c r="A17" s="1762"/>
      <c r="B17" s="1681"/>
      <c r="C17" s="1682" t="s">
        <v>1954</v>
      </c>
      <c r="D17" s="1699">
        <v>68749</v>
      </c>
      <c r="E17" s="1699">
        <v>57791</v>
      </c>
      <c r="F17" s="1699"/>
      <c r="G17" s="1699">
        <v>61444</v>
      </c>
      <c r="H17" s="1699">
        <v>61444</v>
      </c>
      <c r="I17" s="1699"/>
      <c r="J17" s="1693"/>
      <c r="K17" s="2454" t="str">
        <f>CONCATENATE(K16,L16,M16,N16,O16,P16,Q16,R16,S16,T16,,U16)</f>
        <v>住宅2088年3月22日、商业2058年3月22日地下车库2068年3月22日、地下仓储2068年3月22日</v>
      </c>
      <c r="L17" s="1722"/>
      <c r="M17" s="1722"/>
      <c r="N17" s="1693"/>
      <c r="O17" s="1694"/>
      <c r="P17" s="1693"/>
      <c r="Q17" s="1693"/>
      <c r="R17" s="1693"/>
      <c r="S17" s="1693"/>
      <c r="T17" s="1693"/>
      <c r="U17" s="1693"/>
    </row>
    <row r="18" spans="1:21">
      <c r="A18" s="1762"/>
      <c r="B18" s="1681"/>
      <c r="C18" s="1682" t="s">
        <v>1955</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69.37</v>
      </c>
      <c r="E19" s="1684">
        <f>IF(B16="出让",IF(E17="","",ROUNDDOWN(MIN((E17-$D$3)/365,E18),2)),E18)</f>
        <v>39.35</v>
      </c>
      <c r="F19" s="1684" t="str">
        <f>IF(B16="出让",IF(F17="","",ROUNDDOWN(MIN((F17-$D$3)/365,F18),2)),F18)</f>
        <v/>
      </c>
      <c r="G19" s="1684">
        <f>IF(B16="出让",IF(G17="","",ROUNDDOWN(MIN((G17-$D$3)/365,G18),2)),G18)</f>
        <v>49.36</v>
      </c>
      <c r="H19" s="1684">
        <f>IF(B16="出让",IF(H17="","",ROUNDDOWN(MIN((H17-$D$3)/365,H18),2)),H18)</f>
        <v>49.36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48"/>
      <c r="E20" s="3249"/>
      <c r="F20" s="3249"/>
      <c r="G20" s="3249"/>
      <c r="H20" s="3249"/>
      <c r="I20" s="3250"/>
      <c r="J20" s="1693"/>
      <c r="K20" s="1773"/>
      <c r="L20" s="1722"/>
      <c r="M20" s="1722"/>
      <c r="N20" s="1693"/>
      <c r="O20" s="1694"/>
      <c r="P20" s="1693"/>
      <c r="Q20" s="1693"/>
      <c r="R20" s="1693"/>
      <c r="S20" s="1693"/>
      <c r="T20" s="1693"/>
      <c r="U20" s="1693"/>
    </row>
    <row r="21" spans="1:21">
      <c r="A21" s="1762" t="s">
        <v>1957</v>
      </c>
      <c r="B21" s="1763" t="s">
        <v>1958</v>
      </c>
      <c r="C21" s="1758">
        <f>'数据-汇总表'!E3</f>
        <v>124921.5</v>
      </c>
      <c r="D21" s="1759" t="s">
        <v>1959</v>
      </c>
      <c r="E21" s="3238" t="s">
        <v>3050</v>
      </c>
      <c r="F21" s="3239"/>
      <c r="G21" s="3239"/>
      <c r="H21" s="3239"/>
      <c r="I21" s="3240"/>
      <c r="J21" s="1693"/>
      <c r="K21" s="1773"/>
      <c r="L21" s="1722"/>
      <c r="M21" s="1722"/>
      <c r="N21" s="1693"/>
      <c r="O21" s="1694"/>
      <c r="P21" s="1693"/>
      <c r="Q21" s="1693"/>
      <c r="R21" s="1693"/>
      <c r="S21" s="1693"/>
      <c r="T21" s="1693"/>
      <c r="U21" s="1693"/>
    </row>
    <row r="22" spans="1:21">
      <c r="A22" s="3144" t="s">
        <v>948</v>
      </c>
      <c r="B22" s="1660" t="s">
        <v>1960</v>
      </c>
      <c r="C22" s="1685">
        <f>'数据-汇总表'!D3</f>
        <v>33824.92</v>
      </c>
      <c r="D22" s="1686" t="s">
        <v>1959</v>
      </c>
      <c r="E22" s="3238" t="s">
        <v>3051</v>
      </c>
      <c r="F22" s="3239"/>
      <c r="G22" s="3239"/>
      <c r="H22" s="3239"/>
      <c r="I22" s="3240"/>
      <c r="J22" s="1693"/>
      <c r="K22" s="1773"/>
      <c r="L22" s="1722"/>
      <c r="M22" s="1722"/>
      <c r="N22" s="1693"/>
      <c r="O22" s="1694"/>
      <c r="P22" s="1693"/>
      <c r="Q22" s="1693"/>
      <c r="R22" s="1693"/>
      <c r="S22" s="1693"/>
      <c r="T22" s="1693"/>
      <c r="U22" s="1693"/>
    </row>
    <row r="23" spans="1:21" ht="29.25" thickBot="1">
      <c r="A23" s="1764" t="s">
        <v>1961</v>
      </c>
      <c r="B23" s="1700" t="s">
        <v>1962</v>
      </c>
      <c r="C23" s="1701" t="s">
        <v>3049</v>
      </c>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41" t="s">
        <v>1965</v>
      </c>
      <c r="C24" s="3242"/>
      <c r="D24" s="3243" t="s">
        <v>1966</v>
      </c>
      <c r="E24" s="3244"/>
      <c r="F24" s="1707" t="s">
        <v>1967</v>
      </c>
      <c r="G24" s="1693"/>
      <c r="H24" s="1693"/>
      <c r="I24" s="1706"/>
      <c r="J24" s="1693"/>
      <c r="K24" s="3229" t="s">
        <v>1968</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2323</v>
      </c>
      <c r="C25" s="1708" t="s">
        <v>1969</v>
      </c>
      <c r="D25" s="1709"/>
      <c r="E25" s="1710" t="s">
        <v>948</v>
      </c>
      <c r="F25" s="1711"/>
      <c r="G25" s="1693"/>
      <c r="H25" s="1693"/>
      <c r="I25" s="1706"/>
      <c r="J25" s="1693"/>
      <c r="K25" s="322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1970</v>
      </c>
      <c r="C26" s="1708" t="s">
        <v>2324</v>
      </c>
      <c r="D26" s="1659"/>
      <c r="E26" s="1659"/>
      <c r="F26" s="1687"/>
      <c r="G26" s="1693"/>
      <c r="H26" s="1693"/>
      <c r="I26" s="1706"/>
      <c r="J26" s="1693"/>
      <c r="K26" s="322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50"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51"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51"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2"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6" t="s">
        <v>1999</v>
      </c>
      <c r="B31" s="1763" t="s">
        <v>2000</v>
      </c>
      <c r="C31" s="3254" t="s">
        <v>3052</v>
      </c>
      <c r="D31" s="3255"/>
      <c r="E31" s="1693"/>
      <c r="F31" s="1693"/>
      <c r="G31" s="1693"/>
      <c r="H31" s="1693"/>
      <c r="I31" s="1706"/>
      <c r="J31" s="1693"/>
      <c r="K31" s="2457"/>
      <c r="L31" s="1693"/>
      <c r="M31" s="1693"/>
      <c r="N31" s="1693"/>
      <c r="O31" s="1693"/>
      <c r="P31" s="1693"/>
      <c r="Q31" s="1693"/>
      <c r="R31" s="1693"/>
      <c r="S31" s="1693"/>
      <c r="T31" s="1693"/>
      <c r="U31" s="1693"/>
    </row>
    <row r="32" spans="1:21">
      <c r="A32" s="3256"/>
      <c r="B32" s="1660" t="s">
        <v>2001</v>
      </c>
      <c r="C32" s="1718" t="s">
        <v>3053</v>
      </c>
      <c r="D32" s="1719"/>
      <c r="E32" s="1693"/>
      <c r="F32" s="1693"/>
      <c r="G32" s="1693"/>
      <c r="H32" s="1693"/>
      <c r="I32" s="1706"/>
      <c r="J32" s="1693"/>
      <c r="K32" s="2457"/>
      <c r="L32" s="1693"/>
      <c r="M32" s="1693"/>
      <c r="N32" s="1693"/>
      <c r="O32" s="1693"/>
      <c r="P32" s="1693"/>
      <c r="Q32" s="1693"/>
      <c r="R32" s="1693"/>
      <c r="S32" s="1693"/>
      <c r="T32" s="1693"/>
      <c r="U32" s="1693"/>
    </row>
    <row r="33" spans="1:21">
      <c r="A33" s="3256"/>
      <c r="B33" s="1660" t="s">
        <v>2002</v>
      </c>
      <c r="C33" s="1720" t="s">
        <v>3054</v>
      </c>
      <c r="D33" s="1837"/>
      <c r="E33" s="1693"/>
      <c r="F33" s="1693"/>
      <c r="G33" s="1693"/>
      <c r="H33" s="1693"/>
      <c r="I33" s="1706"/>
      <c r="J33" s="1693"/>
      <c r="K33" s="2457"/>
      <c r="L33" s="1693"/>
      <c r="M33" s="1693"/>
      <c r="N33" s="1693"/>
      <c r="O33" s="1693"/>
      <c r="P33" s="1693"/>
      <c r="Q33" s="1693"/>
      <c r="R33" s="1693"/>
      <c r="S33" s="1693"/>
      <c r="T33" s="1693"/>
      <c r="U33" s="1693"/>
    </row>
    <row r="34" spans="1:21">
      <c r="A34" s="3257"/>
      <c r="B34" s="1660" t="s">
        <v>2003</v>
      </c>
      <c r="C34" s="3258"/>
      <c r="D34" s="3259"/>
      <c r="E34" s="1693"/>
      <c r="F34" s="1693"/>
      <c r="G34" s="1693"/>
      <c r="H34" s="1693"/>
      <c r="I34" s="1706"/>
      <c r="J34" s="1693"/>
      <c r="K34" s="2457"/>
      <c r="L34" s="1693"/>
      <c r="M34" s="1693"/>
      <c r="N34" s="1693"/>
      <c r="O34" s="1693"/>
      <c r="P34" s="1693"/>
      <c r="Q34" s="1693"/>
      <c r="R34" s="1693"/>
      <c r="S34" s="1693"/>
      <c r="T34" s="1693"/>
      <c r="U34" s="1693"/>
    </row>
    <row r="35" spans="1:21">
      <c r="A35" s="3260" t="s">
        <v>843</v>
      </c>
      <c r="B35" s="1721" t="s">
        <v>3055</v>
      </c>
      <c r="C35" s="1775" t="str">
        <f>IF(B35="场地平整","——","具体情况：")</f>
        <v>——</v>
      </c>
      <c r="D35" s="3262"/>
      <c r="E35" s="3263"/>
      <c r="F35" s="3263"/>
      <c r="G35" s="3263"/>
      <c r="H35" s="3263"/>
      <c r="I35" s="3264"/>
      <c r="J35" s="1693"/>
      <c r="K35" s="1774"/>
      <c r="L35" s="1722"/>
      <c r="M35" s="1722"/>
      <c r="N35" s="1693"/>
      <c r="O35" s="1694"/>
      <c r="P35" s="1693"/>
      <c r="Q35" s="1693"/>
      <c r="R35" s="1693"/>
      <c r="S35" s="1693"/>
      <c r="T35" s="1693"/>
      <c r="U35" s="1693"/>
    </row>
    <row r="36" spans="1:21">
      <c r="A36" s="3256"/>
      <c r="B36" s="3265" t="s">
        <v>2052</v>
      </c>
      <c r="C36" s="3266"/>
      <c r="D36" s="1791" t="s">
        <v>3056</v>
      </c>
      <c r="E36" s="3267"/>
      <c r="F36" s="3267"/>
      <c r="G36" s="1686" t="str">
        <f>IF(B35="场地未平整","估价结果处理","")</f>
        <v/>
      </c>
      <c r="H36" s="3268"/>
      <c r="I36" s="3268"/>
      <c r="J36" s="1693"/>
      <c r="K36" s="1774"/>
      <c r="L36" s="1722"/>
      <c r="M36" s="1722"/>
      <c r="N36" s="1693"/>
      <c r="O36" s="1694"/>
      <c r="P36" s="1693"/>
      <c r="Q36" s="1693"/>
      <c r="R36" s="1693"/>
      <c r="S36" s="1693"/>
      <c r="T36" s="1693"/>
      <c r="U36" s="1693"/>
    </row>
    <row r="37" spans="1:21" ht="28.5">
      <c r="A37" s="3256"/>
      <c r="B37" s="3245" t="s">
        <v>844</v>
      </c>
      <c r="C37" s="1723" t="s">
        <v>845</v>
      </c>
      <c r="D37" s="1724">
        <v>43518</v>
      </c>
      <c r="E37" s="1725"/>
      <c r="F37" s="1693"/>
      <c r="G37" s="1693"/>
      <c r="H37" s="1693"/>
      <c r="I37" s="1706"/>
      <c r="J37" s="1693"/>
      <c r="K37" s="1774"/>
      <c r="L37" s="1693"/>
      <c r="M37" s="1693"/>
      <c r="N37" s="1693"/>
      <c r="O37" s="1693"/>
      <c r="P37" s="1693"/>
      <c r="Q37" s="1693"/>
      <c r="R37" s="1693"/>
      <c r="S37" s="1693"/>
      <c r="T37" s="1693"/>
      <c r="U37" s="1693"/>
    </row>
    <row r="38" spans="1:21">
      <c r="A38" s="3256"/>
      <c r="B38" s="3246"/>
      <c r="C38" s="1668" t="s">
        <v>846</v>
      </c>
      <c r="D38" s="1790">
        <f>ROUNDDOWN(MIN(('数据-取费表'!$B$2-D37)/365,D34),1)</f>
        <v>-0.2</v>
      </c>
      <c r="E38" s="1726" t="s">
        <v>847</v>
      </c>
      <c r="F38" s="1693"/>
      <c r="G38" s="1693"/>
      <c r="H38" s="1693"/>
      <c r="I38" s="1706"/>
      <c r="J38" s="1693"/>
      <c r="K38" s="1774"/>
      <c r="L38" s="1693"/>
      <c r="M38" s="1693"/>
      <c r="N38" s="1693"/>
      <c r="O38" s="1693"/>
      <c r="P38" s="1693"/>
      <c r="Q38" s="1693"/>
      <c r="R38" s="1693"/>
      <c r="S38" s="1693"/>
      <c r="T38" s="1693"/>
      <c r="U38" s="1693"/>
    </row>
    <row r="39" spans="1:21">
      <c r="A39" s="3257"/>
      <c r="B39" s="3247"/>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3134</v>
      </c>
      <c r="C40" s="1689" t="s">
        <v>3057</v>
      </c>
      <c r="D40" s="1689" t="s">
        <v>3058</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8" t="s">
        <v>1984</v>
      </c>
      <c r="T40" s="1730" t="str">
        <f>NUMBERSTRING(7-K40,1)&amp;"通"</f>
        <v>七通</v>
      </c>
      <c r="U40" s="1693"/>
    </row>
    <row r="41" spans="1:21">
      <c r="A41" s="1662"/>
      <c r="B41" s="3261" t="s">
        <v>1718</v>
      </c>
      <c r="C41" s="3261"/>
      <c r="D41" s="3261"/>
      <c r="E41" s="3261"/>
      <c r="F41" s="1731">
        <f>C10</f>
        <v>0</v>
      </c>
      <c r="G41" s="1693"/>
      <c r="H41" s="1693"/>
      <c r="I41" s="1706"/>
      <c r="J41" s="1693"/>
      <c r="K41" s="1698"/>
      <c r="L41" s="1695" t="str">
        <f>B40</f>
        <v>通上水</v>
      </c>
      <c r="M41" s="1732" t="str">
        <f>B40&amp;"、"&amp;C40</f>
        <v>通上水、通电</v>
      </c>
      <c r="N41" s="1733" t="str">
        <f>B40&amp;"、"&amp;C40&amp;"、"&amp;D40</f>
        <v>通上水、通电、通讯</v>
      </c>
      <c r="O41" s="1733" t="str">
        <f>B40&amp;"、"&amp;C40&amp;"、"&amp;D40&amp;"、"&amp;E40</f>
        <v>通上水、通电、通讯、</v>
      </c>
      <c r="P41" s="1733" t="str">
        <f>B40&amp;"、"&amp;C40&amp;"、"&amp;D40&amp;"、"&amp;E40&amp;"、"&amp;F40</f>
        <v>通上水、通电、通讯、、</v>
      </c>
      <c r="Q41" s="1733" t="str">
        <f>B40&amp;"、"&amp;C40&amp;"、"&amp;D40&amp;"、"&amp;E40&amp;"、"&amp;F40&amp;"、"&amp;G40</f>
        <v>通上水、通电、通讯、、、</v>
      </c>
      <c r="R41" s="1733" t="str">
        <f>B40&amp;"、"&amp;C40&amp;"、"&amp;D40&amp;"、"&amp;E40&amp;"、"&amp;F40&amp;"、"&amp;G40&amp;"、"&amp;H40</f>
        <v>通上水、通电、通讯、、、、</v>
      </c>
      <c r="S41" s="3228"/>
      <c r="T41" s="1732" t="str">
        <f>IF(T40="一通",L41,IF(T40="二通",M41,IF(T40="三通",N41,IF(T40="四通",O41,IF(T40="五通",P41,IF(T40="六通",Q41,R41))))))</f>
        <v>通上水、通电、通讯、、、、</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t="s">
        <v>1410</v>
      </c>
      <c r="D43" s="1737" t="s">
        <v>1410</v>
      </c>
      <c r="E43" s="1737" t="s">
        <v>1410</v>
      </c>
      <c r="F43" s="1738"/>
      <c r="G43" s="1693"/>
      <c r="H43" s="1693"/>
      <c r="I43" s="1706"/>
      <c r="J43" s="1693"/>
      <c r="K43" s="1773"/>
      <c r="L43" s="1722"/>
      <c r="M43" s="1722"/>
      <c r="N43" s="1693"/>
      <c r="O43" s="1694"/>
      <c r="P43" s="1693"/>
      <c r="Q43" s="1693"/>
      <c r="R43" s="1693"/>
      <c r="S43" s="1693"/>
      <c r="T43" s="1693"/>
      <c r="U43" s="1693"/>
    </row>
    <row r="44" spans="1:21">
      <c r="A44" s="1736" t="s">
        <v>1704</v>
      </c>
      <c r="B44" s="1737" t="s">
        <v>3170</v>
      </c>
      <c r="C44" s="1737" t="s">
        <v>3170</v>
      </c>
      <c r="D44" s="1737" t="s">
        <v>3170</v>
      </c>
      <c r="E44" s="1737" t="s">
        <v>3170</v>
      </c>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5" sqref="H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9.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9016.04+10612.1+14196.78</f>
        <v>33824.92</v>
      </c>
      <c r="B3" s="22">
        <f>IF(C3="否",G5-AT5,G5)</f>
        <v>124921.5</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124921.5</v>
      </c>
      <c r="H5" s="27">
        <f t="shared" ref="H5:AT5" si="0">SUM(H13:H641)</f>
        <v>124921.5</v>
      </c>
      <c r="I5" s="27">
        <f t="shared" si="0"/>
        <v>95293</v>
      </c>
      <c r="J5" s="27">
        <f t="shared" si="0"/>
        <v>0</v>
      </c>
      <c r="K5" s="27">
        <f t="shared" si="0"/>
        <v>5719</v>
      </c>
      <c r="L5" s="27">
        <f t="shared" si="0"/>
        <v>0</v>
      </c>
      <c r="M5" s="27">
        <f t="shared" si="0"/>
        <v>23909.5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124921.5</v>
      </c>
      <c r="BA5" s="29">
        <f t="shared" si="1"/>
        <v>124921.5</v>
      </c>
      <c r="BB5" s="29">
        <f t="shared" si="1"/>
        <v>95293</v>
      </c>
      <c r="BC5" s="29">
        <f t="shared" si="1"/>
        <v>5719</v>
      </c>
      <c r="BD5" s="29">
        <f t="shared" si="1"/>
        <v>23909.5</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33824.92</v>
      </c>
      <c r="F6" s="27" t="s">
        <v>1</v>
      </c>
      <c r="G6" s="27" t="s">
        <v>2</v>
      </c>
      <c r="H6" s="33">
        <f>SUMIF(I$12:AB$12,"总值",I6:AB6)</f>
        <v>33824.92</v>
      </c>
      <c r="I6" s="27">
        <f t="shared" ref="I6:AB6" si="2">ROUND($A$3*I5/$B$3,2)</f>
        <v>25802.43</v>
      </c>
      <c r="J6" s="27">
        <f t="shared" si="2"/>
        <v>0</v>
      </c>
      <c r="K6" s="27">
        <f t="shared" si="2"/>
        <v>1548.53</v>
      </c>
      <c r="L6" s="27">
        <f t="shared" si="2"/>
        <v>0</v>
      </c>
      <c r="M6" s="27">
        <f t="shared" si="2"/>
        <v>6473.96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33824.92</v>
      </c>
      <c r="AZ6" s="27" t="s">
        <v>3</v>
      </c>
      <c r="BA6" s="27">
        <f>ROUND($AY$6*BA5/$AZ$5,2)</f>
        <v>33824.92</v>
      </c>
      <c r="BB6" s="27">
        <f>ROUND($AY$6*BB5/$AZ$5,2)</f>
        <v>25802.43</v>
      </c>
      <c r="BC6" s="27">
        <f t="shared" ref="BC6:BH6" si="4">ROUND($AY$6*BC5/$AZ$5,2)</f>
        <v>1548.53</v>
      </c>
      <c r="BD6" s="27">
        <f t="shared" si="4"/>
        <v>6473.96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851</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7" t="s">
        <v>3059</v>
      </c>
      <c r="J9" s="51"/>
      <c r="K9" s="3017" t="s">
        <v>3071</v>
      </c>
      <c r="L9" s="51"/>
      <c r="M9" s="3017" t="s">
        <v>3071</v>
      </c>
      <c r="N9" s="51"/>
      <c r="O9" s="59" t="s">
        <v>3059</v>
      </c>
      <c r="P9" s="51"/>
      <c r="Q9" s="59" t="s">
        <v>3071</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7" t="s">
        <v>919</v>
      </c>
      <c r="J10" s="51"/>
      <c r="K10" s="3019" t="s">
        <v>3080</v>
      </c>
      <c r="L10" s="51"/>
      <c r="M10" s="3019" t="s">
        <v>3073</v>
      </c>
      <c r="N10" s="51"/>
      <c r="O10" s="66" t="s">
        <v>3047</v>
      </c>
      <c r="P10" s="51"/>
      <c r="Q10" s="66" t="s">
        <v>3047</v>
      </c>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3070</v>
      </c>
      <c r="J11" s="71"/>
      <c r="K11" s="3018" t="s">
        <v>3072</v>
      </c>
      <c r="L11" s="71"/>
      <c r="M11" s="70" t="s">
        <v>3073</v>
      </c>
      <c r="N11" s="71"/>
      <c r="O11" s="70" t="s">
        <v>3079</v>
      </c>
      <c r="P11" s="71"/>
      <c r="Q11" s="70" t="s">
        <v>3079</v>
      </c>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c r="B13" s="3013"/>
      <c r="C13" s="3013" t="s">
        <v>3060</v>
      </c>
      <c r="D13" s="3014" t="s">
        <v>1675</v>
      </c>
      <c r="E13" s="27">
        <f t="shared" ref="E13:E20" si="6">IF($C$3="是",ROUND($A$3*G13/$B$3,2),ROUND($A$3*(G13-AT13)/$B$3,2))</f>
        <v>2458.86</v>
      </c>
      <c r="F13" s="81"/>
      <c r="G13" s="82">
        <f t="shared" ref="G13:G20" si="7">H13+AC13+AT13</f>
        <v>9081</v>
      </c>
      <c r="H13" s="33">
        <f t="shared" ref="H13:H20" si="8">SUMIF(I$12:AB$12,"总值",I13:AB13)</f>
        <v>9081</v>
      </c>
      <c r="I13" s="3016">
        <v>8773</v>
      </c>
      <c r="J13" s="3016"/>
      <c r="K13" s="3016">
        <v>308</v>
      </c>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0078-01#住宅楼</v>
      </c>
      <c r="AY13" s="996">
        <f t="shared" ref="AY13:AY20" si="11">ROUND($AY$6*AZ13/$AZ$5,2)</f>
        <v>2458.86</v>
      </c>
      <c r="AZ13" s="27">
        <f t="shared" ref="AZ13:AZ20" si="12">BA13+BL13</f>
        <v>9081</v>
      </c>
      <c r="BA13" s="27">
        <f t="shared" ref="BA13:BA20" si="13">SUM(BB13:BK13)</f>
        <v>9081</v>
      </c>
      <c r="BB13" s="27">
        <f t="shared" ref="BB13:BB20" si="14">IF($D13="是",I13-J13,0)</f>
        <v>8773</v>
      </c>
      <c r="BC13" s="27">
        <f t="shared" ref="BC13:BC20" si="15">IF($D13="是",K13-L13,0)</f>
        <v>308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3"/>
      <c r="B14" s="3013"/>
      <c r="C14" s="3013" t="s">
        <v>3061</v>
      </c>
      <c r="D14" s="3014" t="s">
        <v>1675</v>
      </c>
      <c r="E14" s="27">
        <f t="shared" si="6"/>
        <v>2465.65</v>
      </c>
      <c r="F14" s="81"/>
      <c r="G14" s="82">
        <f t="shared" si="7"/>
        <v>9106.1</v>
      </c>
      <c r="H14" s="33">
        <f t="shared" si="8"/>
        <v>9106.1</v>
      </c>
      <c r="I14" s="3016">
        <v>8782.1</v>
      </c>
      <c r="J14" s="3016"/>
      <c r="K14" s="3016">
        <v>324</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0078-02#住宅楼</v>
      </c>
      <c r="AY14" s="996">
        <f t="shared" si="11"/>
        <v>2465.65</v>
      </c>
      <c r="AZ14" s="27">
        <f t="shared" si="12"/>
        <v>9106.1</v>
      </c>
      <c r="BA14" s="27">
        <f t="shared" si="13"/>
        <v>9106.1</v>
      </c>
      <c r="BB14" s="27">
        <f t="shared" si="14"/>
        <v>8782.1</v>
      </c>
      <c r="BC14" s="27">
        <f t="shared" si="15"/>
        <v>324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3"/>
      <c r="B15" s="3013"/>
      <c r="C15" s="3013" t="s">
        <v>3062</v>
      </c>
      <c r="D15" s="3014" t="s">
        <v>1675</v>
      </c>
      <c r="E15" s="27">
        <f t="shared" si="6"/>
        <v>2563.81</v>
      </c>
      <c r="F15" s="81"/>
      <c r="G15" s="82">
        <f t="shared" si="7"/>
        <v>9468.6</v>
      </c>
      <c r="H15" s="33">
        <f t="shared" si="8"/>
        <v>9468.6</v>
      </c>
      <c r="I15" s="3016">
        <v>9161.6</v>
      </c>
      <c r="J15" s="3016"/>
      <c r="K15" s="3016">
        <v>307</v>
      </c>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0078-03#住宅楼</v>
      </c>
      <c r="AY15" s="996">
        <f t="shared" si="11"/>
        <v>2563.81</v>
      </c>
      <c r="AZ15" s="27">
        <f t="shared" si="12"/>
        <v>9468.6</v>
      </c>
      <c r="BA15" s="27">
        <f t="shared" si="13"/>
        <v>9468.6</v>
      </c>
      <c r="BB15" s="27">
        <f t="shared" si="14"/>
        <v>9161.6</v>
      </c>
      <c r="BC15" s="27">
        <f t="shared" si="15"/>
        <v>307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3"/>
      <c r="B16" s="3013"/>
      <c r="C16" s="3015" t="s">
        <v>3063</v>
      </c>
      <c r="D16" s="3014" t="s">
        <v>1675</v>
      </c>
      <c r="E16" s="27">
        <f t="shared" si="6"/>
        <v>4492.96</v>
      </c>
      <c r="F16" s="81"/>
      <c r="G16" s="82">
        <f t="shared" si="7"/>
        <v>16593.3</v>
      </c>
      <c r="H16" s="33">
        <f t="shared" si="8"/>
        <v>16593.3</v>
      </c>
      <c r="I16" s="3016">
        <v>15946.3</v>
      </c>
      <c r="J16" s="3016"/>
      <c r="K16" s="3016">
        <v>647</v>
      </c>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t="str">
        <f t="shared" si="10"/>
        <v>0079-01#住宅楼</v>
      </c>
      <c r="AY16" s="996">
        <f t="shared" si="11"/>
        <v>4492.96</v>
      </c>
      <c r="AZ16" s="27">
        <f t="shared" si="12"/>
        <v>16593.3</v>
      </c>
      <c r="BA16" s="27">
        <f t="shared" si="13"/>
        <v>16593.3</v>
      </c>
      <c r="BB16" s="27">
        <f t="shared" si="14"/>
        <v>15946.3</v>
      </c>
      <c r="BC16" s="27">
        <f t="shared" si="15"/>
        <v>647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3"/>
      <c r="B17" s="3013"/>
      <c r="C17" s="3015" t="s">
        <v>3064</v>
      </c>
      <c r="D17" s="3014" t="s">
        <v>1675</v>
      </c>
      <c r="E17" s="27">
        <f t="shared" si="6"/>
        <v>2206.23</v>
      </c>
      <c r="F17" s="81"/>
      <c r="G17" s="82">
        <f t="shared" si="7"/>
        <v>8148</v>
      </c>
      <c r="H17" s="33">
        <f t="shared" si="8"/>
        <v>8148</v>
      </c>
      <c r="I17" s="3016">
        <v>7847</v>
      </c>
      <c r="J17" s="3016"/>
      <c r="K17" s="3016">
        <v>301</v>
      </c>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t="str">
        <f t="shared" si="10"/>
        <v>0079-02#住宅楼</v>
      </c>
      <c r="AY17" s="996">
        <f t="shared" si="11"/>
        <v>2206.23</v>
      </c>
      <c r="AZ17" s="27">
        <f t="shared" si="12"/>
        <v>8148</v>
      </c>
      <c r="BA17" s="27">
        <f t="shared" si="13"/>
        <v>8148</v>
      </c>
      <c r="BB17" s="27">
        <f t="shared" si="14"/>
        <v>7847</v>
      </c>
      <c r="BC17" s="27">
        <f t="shared" si="15"/>
        <v>301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015" t="s">
        <v>3065</v>
      </c>
      <c r="D18" s="3014" t="s">
        <v>1675</v>
      </c>
      <c r="E18" s="87">
        <f t="shared" si="6"/>
        <v>2201.63</v>
      </c>
      <c r="F18" s="88"/>
      <c r="G18" s="89">
        <f t="shared" si="7"/>
        <v>8131</v>
      </c>
      <c r="H18" s="90">
        <f t="shared" si="8"/>
        <v>8131</v>
      </c>
      <c r="I18" s="1394">
        <v>7847</v>
      </c>
      <c r="J18" s="91"/>
      <c r="K18" s="1394">
        <v>284</v>
      </c>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0079-03#住宅楼</v>
      </c>
      <c r="AY18" s="95">
        <f t="shared" si="11"/>
        <v>2201.63</v>
      </c>
      <c r="AZ18" s="87">
        <f t="shared" si="12"/>
        <v>8131</v>
      </c>
      <c r="BA18" s="87">
        <f t="shared" si="13"/>
        <v>8131</v>
      </c>
      <c r="BB18" s="87">
        <f t="shared" si="14"/>
        <v>7847</v>
      </c>
      <c r="BC18" s="87">
        <f t="shared" si="15"/>
        <v>284</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8"/>
      <c r="C19" s="1394" t="s">
        <v>3066</v>
      </c>
      <c r="D19" s="3014" t="s">
        <v>1675</v>
      </c>
      <c r="E19" s="87">
        <f t="shared" si="6"/>
        <v>5318.18</v>
      </c>
      <c r="F19" s="88"/>
      <c r="G19" s="89">
        <f t="shared" si="7"/>
        <v>19641</v>
      </c>
      <c r="H19" s="90">
        <f t="shared" si="8"/>
        <v>19641</v>
      </c>
      <c r="I19" s="1394">
        <v>18994</v>
      </c>
      <c r="J19" s="91"/>
      <c r="K19" s="1394">
        <v>647</v>
      </c>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t="str">
        <f t="shared" si="10"/>
        <v>0081-01#住宅楼</v>
      </c>
      <c r="AY19" s="95">
        <f t="shared" si="11"/>
        <v>5318.18</v>
      </c>
      <c r="AZ19" s="87">
        <f t="shared" si="12"/>
        <v>19641</v>
      </c>
      <c r="BA19" s="87">
        <f t="shared" si="13"/>
        <v>19641</v>
      </c>
      <c r="BB19" s="87">
        <f t="shared" si="14"/>
        <v>18994</v>
      </c>
      <c r="BC19" s="87">
        <f t="shared" si="15"/>
        <v>647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98"/>
      <c r="C20" s="1394" t="s">
        <v>3067</v>
      </c>
      <c r="D20" s="3014" t="s">
        <v>1675</v>
      </c>
      <c r="E20" s="87">
        <f t="shared" si="6"/>
        <v>2460.81</v>
      </c>
      <c r="F20" s="88"/>
      <c r="G20" s="89">
        <f t="shared" si="7"/>
        <v>9088.2000000000007</v>
      </c>
      <c r="H20" s="90">
        <f t="shared" si="8"/>
        <v>9088.2000000000007</v>
      </c>
      <c r="I20" s="1394">
        <v>8781.2000000000007</v>
      </c>
      <c r="J20" s="91"/>
      <c r="K20" s="1394">
        <v>307</v>
      </c>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t="str">
        <f t="shared" si="10"/>
        <v>0081-02#住宅楼</v>
      </c>
      <c r="AY20" s="95">
        <f t="shared" si="11"/>
        <v>2460.81</v>
      </c>
      <c r="AZ20" s="87">
        <f t="shared" si="12"/>
        <v>9088.2000000000007</v>
      </c>
      <c r="BA20" s="87">
        <f t="shared" si="13"/>
        <v>9088.2000000000007</v>
      </c>
      <c r="BB20" s="87">
        <f t="shared" si="14"/>
        <v>8781.2000000000007</v>
      </c>
      <c r="BC20" s="87">
        <f t="shared" si="15"/>
        <v>307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93"/>
      <c r="C21" s="1394" t="s">
        <v>3068</v>
      </c>
      <c r="D21" s="3014" t="s">
        <v>1675</v>
      </c>
      <c r="E21" s="87">
        <f t="shared" ref="E21:E112" si="33">IF($C$3="是",ROUND($A$3*G21/$B$3,2),ROUND($A$3*(G21-AT21)/$B$3,2))</f>
        <v>2568.19</v>
      </c>
      <c r="F21" s="88"/>
      <c r="G21" s="89">
        <f t="shared" ref="G21:G109" si="34">H21+AC21+AT21</f>
        <v>9484.7999999999993</v>
      </c>
      <c r="H21" s="90">
        <f t="shared" ref="H21:H109" si="35">SUMIF(I$12:AB$12,"总值",I21:AB21)</f>
        <v>9484.7999999999993</v>
      </c>
      <c r="I21" s="1396">
        <v>9160.7999999999993</v>
      </c>
      <c r="J21" s="91"/>
      <c r="K21" s="1396">
        <v>324</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t="str">
        <f t="shared" ref="AX21:AX112" si="39">C21</f>
        <v>0081-03#住宅楼</v>
      </c>
      <c r="AY21" s="95">
        <f t="shared" ref="AY21:AY109" si="40">ROUND($AY$6*AZ21/$AZ$5,2)</f>
        <v>2568.19</v>
      </c>
      <c r="AZ21" s="87">
        <f t="shared" ref="AZ21:AZ109" si="41">BA21+BL21</f>
        <v>9484.7999999999993</v>
      </c>
      <c r="BA21" s="87">
        <f t="shared" ref="BA21:BA109" si="42">SUM(BB21:BK21)</f>
        <v>9484.7999999999993</v>
      </c>
      <c r="BB21" s="87">
        <f t="shared" ref="BB21:BB109" si="43">IF($D21="是",I21-J21,0)</f>
        <v>9160.7999999999993</v>
      </c>
      <c r="BC21" s="87">
        <f t="shared" ref="BC21:BC109" si="44">IF($D21="是",K21-L21,0)</f>
        <v>324</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3"/>
      <c r="C22" s="1394" t="s">
        <v>3136</v>
      </c>
      <c r="D22" s="3014" t="s">
        <v>1675</v>
      </c>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0078-04#配套楼</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42.75">
      <c r="A23" s="84"/>
      <c r="B23" s="1393"/>
      <c r="C23" s="1394" t="s">
        <v>3069</v>
      </c>
      <c r="D23" s="3014" t="s">
        <v>1675</v>
      </c>
      <c r="E23" s="87">
        <f t="shared" si="33"/>
        <v>1409.35</v>
      </c>
      <c r="F23" s="88"/>
      <c r="G23" s="89">
        <f t="shared" si="34"/>
        <v>5205</v>
      </c>
      <c r="H23" s="90">
        <f t="shared" si="35"/>
        <v>5205</v>
      </c>
      <c r="I23" s="1396"/>
      <c r="J23" s="91"/>
      <c r="K23" s="1396"/>
      <c r="L23" s="91"/>
      <c r="M23" s="1364">
        <v>5205</v>
      </c>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t="str">
        <f t="shared" si="39"/>
        <v>0078-CK01#地下车库</v>
      </c>
      <c r="AY23" s="95">
        <f t="shared" si="40"/>
        <v>1409.35</v>
      </c>
      <c r="AZ23" s="87">
        <f t="shared" si="41"/>
        <v>5205</v>
      </c>
      <c r="BA23" s="87">
        <f t="shared" si="42"/>
        <v>5205</v>
      </c>
      <c r="BB23" s="87">
        <f t="shared" si="43"/>
        <v>0</v>
      </c>
      <c r="BC23" s="87">
        <f t="shared" si="44"/>
        <v>0</v>
      </c>
      <c r="BD23" s="87">
        <f t="shared" si="45"/>
        <v>5205</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1393"/>
      <c r="C24" s="1396" t="s">
        <v>3074</v>
      </c>
      <c r="D24" s="3014" t="s">
        <v>1675</v>
      </c>
      <c r="E24" s="87">
        <f t="shared" si="33"/>
        <v>261.02</v>
      </c>
      <c r="F24" s="88"/>
      <c r="G24" s="89">
        <f t="shared" si="34"/>
        <v>964</v>
      </c>
      <c r="H24" s="90">
        <f t="shared" si="35"/>
        <v>964</v>
      </c>
      <c r="I24" s="1396"/>
      <c r="J24" s="91"/>
      <c r="K24" s="1396">
        <v>964</v>
      </c>
      <c r="L24" s="91"/>
      <c r="M24" s="91"/>
      <c r="N24" s="91"/>
      <c r="O24" s="3499"/>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t="str">
        <f t="shared" si="39"/>
        <v>0079-04#配套楼</v>
      </c>
      <c r="AY24" s="95">
        <f t="shared" si="40"/>
        <v>261.02</v>
      </c>
      <c r="AZ24" s="87">
        <f t="shared" si="41"/>
        <v>964</v>
      </c>
      <c r="BA24" s="87">
        <f t="shared" si="42"/>
        <v>964</v>
      </c>
      <c r="BB24" s="87">
        <f t="shared" si="43"/>
        <v>0</v>
      </c>
      <c r="BC24" s="87">
        <f t="shared" si="44"/>
        <v>964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42.75">
      <c r="A25" s="84"/>
      <c r="B25" s="1393"/>
      <c r="C25" s="1394" t="s">
        <v>3075</v>
      </c>
      <c r="D25" s="3014" t="s">
        <v>1675</v>
      </c>
      <c r="E25" s="87">
        <f t="shared" si="33"/>
        <v>1694.47</v>
      </c>
      <c r="F25" s="88"/>
      <c r="G25" s="89">
        <f t="shared" si="34"/>
        <v>6258</v>
      </c>
      <c r="H25" s="90">
        <f t="shared" si="35"/>
        <v>6258</v>
      </c>
      <c r="I25" s="1396"/>
      <c r="J25" s="91"/>
      <c r="K25" s="1396"/>
      <c r="L25" s="91"/>
      <c r="M25" s="91">
        <v>6258</v>
      </c>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0079-CK01#地下车库</v>
      </c>
      <c r="AY25" s="95">
        <f t="shared" si="40"/>
        <v>1694.47</v>
      </c>
      <c r="AZ25" s="87">
        <f t="shared" si="41"/>
        <v>6258</v>
      </c>
      <c r="BA25" s="87">
        <f t="shared" si="42"/>
        <v>6258</v>
      </c>
      <c r="BB25" s="87">
        <f t="shared" si="43"/>
        <v>0</v>
      </c>
      <c r="BC25" s="87">
        <f t="shared" si="44"/>
        <v>0</v>
      </c>
      <c r="BD25" s="87">
        <f t="shared" si="45"/>
        <v>6258</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3"/>
      <c r="C26" s="1394" t="s">
        <v>3076</v>
      </c>
      <c r="D26" s="3014" t="s">
        <v>1675</v>
      </c>
      <c r="E26" s="87">
        <f t="shared" si="33"/>
        <v>217.43</v>
      </c>
      <c r="F26" s="88"/>
      <c r="G26" s="89">
        <f t="shared" si="34"/>
        <v>803</v>
      </c>
      <c r="H26" s="90">
        <f t="shared" si="35"/>
        <v>803</v>
      </c>
      <c r="I26" s="1396"/>
      <c r="J26" s="91"/>
      <c r="K26" s="1396">
        <v>803</v>
      </c>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0081-04#配套楼</v>
      </c>
      <c r="AY26" s="95">
        <f t="shared" si="40"/>
        <v>217.43</v>
      </c>
      <c r="AZ26" s="87">
        <f t="shared" si="41"/>
        <v>803</v>
      </c>
      <c r="BA26" s="87">
        <f t="shared" si="42"/>
        <v>803</v>
      </c>
      <c r="BB26" s="87">
        <f t="shared" si="43"/>
        <v>0</v>
      </c>
      <c r="BC26" s="87">
        <f t="shared" si="44"/>
        <v>803</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3"/>
      <c r="C27" s="1394" t="s">
        <v>3077</v>
      </c>
      <c r="D27" s="3014" t="s">
        <v>1675</v>
      </c>
      <c r="E27" s="87">
        <f t="shared" si="33"/>
        <v>136.19999999999999</v>
      </c>
      <c r="F27" s="88"/>
      <c r="G27" s="89">
        <f t="shared" si="34"/>
        <v>503</v>
      </c>
      <c r="H27" s="90">
        <f t="shared" si="35"/>
        <v>503</v>
      </c>
      <c r="I27" s="1396"/>
      <c r="J27" s="91"/>
      <c r="K27" s="1396">
        <v>503</v>
      </c>
      <c r="L27" s="91"/>
      <c r="M27" s="91"/>
      <c r="N27" s="91"/>
      <c r="O27" s="91"/>
      <c r="P27" s="91"/>
      <c r="Q27" s="3190">
        <v>0</v>
      </c>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0081-05#配套楼</v>
      </c>
      <c r="AY27" s="95">
        <f t="shared" si="40"/>
        <v>136.19999999999999</v>
      </c>
      <c r="AZ27" s="87">
        <f t="shared" si="41"/>
        <v>503</v>
      </c>
      <c r="BA27" s="87">
        <f t="shared" si="42"/>
        <v>503</v>
      </c>
      <c r="BB27" s="87">
        <f t="shared" si="43"/>
        <v>0</v>
      </c>
      <c r="BC27" s="87">
        <f t="shared" si="44"/>
        <v>503</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42.75">
      <c r="A28" s="84"/>
      <c r="B28" s="1393"/>
      <c r="C28" s="1394" t="s">
        <v>3078</v>
      </c>
      <c r="D28" s="3014" t="s">
        <v>1675</v>
      </c>
      <c r="E28" s="87">
        <f t="shared" si="33"/>
        <v>3370.13</v>
      </c>
      <c r="F28" s="88"/>
      <c r="G28" s="89">
        <f t="shared" si="34"/>
        <v>12446.5</v>
      </c>
      <c r="H28" s="90">
        <f t="shared" si="35"/>
        <v>12446.5</v>
      </c>
      <c r="I28" s="1396"/>
      <c r="J28" s="91"/>
      <c r="K28" s="1396"/>
      <c r="L28" s="91"/>
      <c r="M28" s="91">
        <v>12446.5</v>
      </c>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0081-CK01#地下车库</v>
      </c>
      <c r="AY28" s="95">
        <f t="shared" si="40"/>
        <v>3370.13</v>
      </c>
      <c r="AZ28" s="87">
        <f t="shared" si="41"/>
        <v>12446.5</v>
      </c>
      <c r="BA28" s="87">
        <f t="shared" si="42"/>
        <v>12446.5</v>
      </c>
      <c r="BB28" s="87">
        <f t="shared" si="43"/>
        <v>0</v>
      </c>
      <c r="BC28" s="87">
        <f t="shared" si="44"/>
        <v>0</v>
      </c>
      <c r="BD28" s="87">
        <f t="shared" si="45"/>
        <v>12446.5</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1:N20"/>
  <sheetViews>
    <sheetView workbookViewId="0">
      <selection activeCell="B12" sqref="B12"/>
    </sheetView>
  </sheetViews>
  <sheetFormatPr defaultRowHeight="12.75" customHeight="1"/>
  <cols>
    <col min="2" max="2" width="18.25" customWidth="1"/>
    <col min="4" max="4" width="11.5" customWidth="1"/>
  </cols>
  <sheetData>
    <row r="1" spans="2:14" ht="12.75" customHeight="1">
      <c r="C1" s="3271" t="s">
        <v>3178</v>
      </c>
      <c r="D1" s="3271"/>
      <c r="E1" s="3271"/>
      <c r="F1" s="3271"/>
      <c r="G1" s="3271"/>
      <c r="H1" s="3271"/>
      <c r="I1" s="3271"/>
      <c r="J1" s="3271"/>
      <c r="K1" s="3271"/>
      <c r="L1" s="3271"/>
      <c r="M1" s="3271"/>
      <c r="N1" s="3271"/>
    </row>
    <row r="2" spans="2:14" ht="12.75" customHeight="1">
      <c r="C2" s="3271" t="s">
        <v>3176</v>
      </c>
      <c r="D2" s="3271" t="s">
        <v>3179</v>
      </c>
      <c r="E2" s="3271"/>
      <c r="F2" s="3271"/>
      <c r="G2" s="3271"/>
      <c r="H2" s="3271"/>
      <c r="I2" s="3271" t="s">
        <v>3184</v>
      </c>
      <c r="J2" s="3271"/>
      <c r="K2" s="3271"/>
      <c r="L2" s="3271"/>
      <c r="M2" s="3271"/>
      <c r="N2" s="3271"/>
    </row>
    <row r="3" spans="2:14" s="2" customFormat="1" ht="45.75" customHeight="1">
      <c r="C3" s="3271"/>
      <c r="D3" s="3198" t="s">
        <v>3177</v>
      </c>
      <c r="E3" s="3198" t="s">
        <v>3180</v>
      </c>
      <c r="F3" s="3198" t="s">
        <v>3181</v>
      </c>
      <c r="G3" s="3198" t="s">
        <v>3182</v>
      </c>
      <c r="H3" s="3198" t="s">
        <v>3183</v>
      </c>
      <c r="I3" s="3198" t="s">
        <v>3177</v>
      </c>
      <c r="J3" s="3198" t="s">
        <v>3185</v>
      </c>
      <c r="K3" s="3198" t="s">
        <v>3186</v>
      </c>
      <c r="L3" s="3198" t="s">
        <v>3187</v>
      </c>
      <c r="M3" s="3198" t="s">
        <v>3188</v>
      </c>
      <c r="N3" s="3198" t="s">
        <v>3189</v>
      </c>
    </row>
    <row r="4" spans="2:14" ht="12.75" customHeight="1">
      <c r="B4" s="3013" t="s">
        <v>3060</v>
      </c>
      <c r="C4">
        <f>D4+I4</f>
        <v>9555.2000000000007</v>
      </c>
      <c r="D4" s="3197">
        <f>E4+F4+G4+H4</f>
        <v>9081</v>
      </c>
      <c r="E4" s="3016">
        <v>8773</v>
      </c>
      <c r="F4" s="83"/>
      <c r="G4" s="3016">
        <v>308</v>
      </c>
      <c r="H4" s="3016"/>
      <c r="I4" s="3197">
        <f>J4+K4+L4+M4+N4</f>
        <v>474.2</v>
      </c>
      <c r="J4" s="3020"/>
      <c r="K4" s="3020">
        <v>362</v>
      </c>
      <c r="L4" s="3020"/>
      <c r="M4" s="3020"/>
      <c r="N4" s="3020">
        <v>112.2</v>
      </c>
    </row>
    <row r="5" spans="2:14" ht="12.75" customHeight="1">
      <c r="B5" s="3013" t="s">
        <v>3061</v>
      </c>
      <c r="C5">
        <f t="shared" ref="C5:C19" si="0">D5+I5</f>
        <v>9560.4</v>
      </c>
      <c r="D5" s="3197">
        <f t="shared" ref="D5:D19" si="1">E5+F5+G5+H5</f>
        <v>9106.1</v>
      </c>
      <c r="E5" s="3016">
        <v>8782.1</v>
      </c>
      <c r="F5" s="83"/>
      <c r="G5" s="3016">
        <v>324</v>
      </c>
      <c r="H5" s="3016"/>
      <c r="I5" s="3197">
        <f t="shared" ref="I5:I19" si="2">J5+K5+L5+M5+N5</f>
        <v>454.3</v>
      </c>
      <c r="J5" s="3020"/>
      <c r="K5" s="3020"/>
      <c r="L5" s="3020"/>
      <c r="M5" s="3020"/>
      <c r="N5" s="3020">
        <v>454.3</v>
      </c>
    </row>
    <row r="6" spans="2:14" ht="12.75" customHeight="1">
      <c r="B6" s="3013" t="s">
        <v>3062</v>
      </c>
      <c r="C6">
        <f t="shared" si="0"/>
        <v>9943.8000000000011</v>
      </c>
      <c r="D6" s="3197">
        <f t="shared" si="1"/>
        <v>9468.6</v>
      </c>
      <c r="E6" s="3016">
        <v>9161.6</v>
      </c>
      <c r="F6" s="83"/>
      <c r="G6" s="3016">
        <v>307</v>
      </c>
      <c r="H6" s="3016"/>
      <c r="I6" s="3197">
        <f t="shared" si="2"/>
        <v>475.2</v>
      </c>
      <c r="J6" s="3020"/>
      <c r="K6" s="3020"/>
      <c r="L6" s="3020"/>
      <c r="M6" s="3020"/>
      <c r="N6" s="3020">
        <v>475.2</v>
      </c>
    </row>
    <row r="7" spans="2:14" ht="12.75" customHeight="1">
      <c r="B7" s="3015" t="s">
        <v>3063</v>
      </c>
      <c r="C7">
        <f t="shared" si="0"/>
        <v>17506.399999999998</v>
      </c>
      <c r="D7" s="3197">
        <f t="shared" si="1"/>
        <v>16593.3</v>
      </c>
      <c r="E7" s="3016">
        <v>15946.3</v>
      </c>
      <c r="F7" s="83"/>
      <c r="G7" s="3016">
        <v>647</v>
      </c>
      <c r="H7" s="3016"/>
      <c r="I7" s="3197">
        <f t="shared" si="2"/>
        <v>913.09999999999991</v>
      </c>
      <c r="J7" s="3020"/>
      <c r="K7" s="3020">
        <v>722.9</v>
      </c>
      <c r="L7" s="3020"/>
      <c r="M7" s="3020"/>
      <c r="N7" s="3020">
        <v>190.2</v>
      </c>
    </row>
    <row r="8" spans="2:14" ht="12.75" customHeight="1">
      <c r="B8" s="3015" t="s">
        <v>3064</v>
      </c>
      <c r="C8">
        <f t="shared" si="0"/>
        <v>8555.7999999999993</v>
      </c>
      <c r="D8" s="3197">
        <f t="shared" si="1"/>
        <v>8148</v>
      </c>
      <c r="E8" s="3016">
        <v>7847</v>
      </c>
      <c r="F8" s="83"/>
      <c r="G8" s="3016">
        <v>301</v>
      </c>
      <c r="H8" s="3016"/>
      <c r="I8" s="3197">
        <f t="shared" si="2"/>
        <v>407.8</v>
      </c>
      <c r="J8" s="3020"/>
      <c r="K8" s="3020"/>
      <c r="L8" s="3020"/>
      <c r="M8" s="3020"/>
      <c r="N8" s="3020">
        <v>407.8</v>
      </c>
    </row>
    <row r="9" spans="2:14" ht="12.75" customHeight="1">
      <c r="B9" s="3015" t="s">
        <v>3065</v>
      </c>
      <c r="C9">
        <f t="shared" si="0"/>
        <v>8574.7000000000007</v>
      </c>
      <c r="D9" s="3197">
        <f t="shared" si="1"/>
        <v>8131</v>
      </c>
      <c r="E9" s="1394">
        <v>7847</v>
      </c>
      <c r="F9" s="91"/>
      <c r="G9" s="1394">
        <v>284</v>
      </c>
      <c r="H9" s="91"/>
      <c r="I9" s="3197">
        <f t="shared" si="2"/>
        <v>443.7</v>
      </c>
      <c r="J9" s="92"/>
      <c r="K9" s="1394"/>
      <c r="L9" s="92"/>
      <c r="M9" s="1364"/>
      <c r="N9" s="1394">
        <v>443.7</v>
      </c>
    </row>
    <row r="10" spans="2:14" ht="12.75" customHeight="1">
      <c r="B10" s="1394" t="s">
        <v>3066</v>
      </c>
      <c r="C10">
        <f t="shared" si="0"/>
        <v>20554.099999999999</v>
      </c>
      <c r="D10" s="3197">
        <f t="shared" si="1"/>
        <v>19641</v>
      </c>
      <c r="E10" s="1394">
        <v>18994</v>
      </c>
      <c r="F10" s="91"/>
      <c r="G10" s="1394">
        <v>647</v>
      </c>
      <c r="H10" s="91"/>
      <c r="I10" s="3197">
        <f t="shared" si="2"/>
        <v>913.09999999999991</v>
      </c>
      <c r="J10" s="92"/>
      <c r="K10" s="1394">
        <v>722.9</v>
      </c>
      <c r="L10" s="92"/>
      <c r="M10" s="92"/>
      <c r="N10" s="1394">
        <v>190.2</v>
      </c>
    </row>
    <row r="11" spans="2:14" ht="12.75" customHeight="1">
      <c r="B11" s="1394" t="s">
        <v>3067</v>
      </c>
      <c r="C11">
        <f t="shared" si="0"/>
        <v>9556.6</v>
      </c>
      <c r="D11" s="3197">
        <f t="shared" si="1"/>
        <v>9088.2000000000007</v>
      </c>
      <c r="E11" s="1394">
        <v>8781.2000000000007</v>
      </c>
      <c r="F11" s="91"/>
      <c r="G11" s="1394">
        <v>307</v>
      </c>
      <c r="H11" s="91"/>
      <c r="I11" s="3197">
        <f t="shared" si="2"/>
        <v>468.4</v>
      </c>
      <c r="J11" s="92"/>
      <c r="K11" s="1394"/>
      <c r="L11" s="92"/>
      <c r="M11" s="92"/>
      <c r="N11" s="1394">
        <v>468.4</v>
      </c>
    </row>
    <row r="12" spans="2:14" ht="12.75" customHeight="1">
      <c r="B12" s="1394" t="s">
        <v>3068</v>
      </c>
      <c r="C12">
        <f t="shared" si="0"/>
        <v>10300.4</v>
      </c>
      <c r="D12" s="3197">
        <f t="shared" si="1"/>
        <v>9484.7999999999993</v>
      </c>
      <c r="E12" s="1396">
        <v>9160.7999999999993</v>
      </c>
      <c r="F12" s="91"/>
      <c r="G12" s="1396">
        <v>324</v>
      </c>
      <c r="H12" s="91"/>
      <c r="I12" s="3197">
        <f t="shared" si="2"/>
        <v>815.6</v>
      </c>
      <c r="J12" s="92"/>
      <c r="K12" s="1397"/>
      <c r="L12" s="92"/>
      <c r="M12" s="92"/>
      <c r="N12" s="1364">
        <v>815.6</v>
      </c>
    </row>
    <row r="13" spans="2:14" ht="12.75" customHeight="1">
      <c r="B13" s="1394" t="s">
        <v>3136</v>
      </c>
      <c r="C13">
        <f t="shared" si="0"/>
        <v>512</v>
      </c>
      <c r="D13" s="3197">
        <f t="shared" si="1"/>
        <v>0</v>
      </c>
      <c r="E13" s="1396"/>
      <c r="F13" s="91"/>
      <c r="G13" s="1396"/>
      <c r="H13" s="1364"/>
      <c r="I13" s="3197">
        <f t="shared" si="2"/>
        <v>512</v>
      </c>
      <c r="J13" s="1364">
        <v>512</v>
      </c>
      <c r="K13" s="1397"/>
      <c r="L13" s="92"/>
      <c r="M13" s="1364"/>
      <c r="N13" s="1364"/>
    </row>
    <row r="14" spans="2:14" ht="12.75" customHeight="1">
      <c r="B14" s="1394" t="s">
        <v>3069</v>
      </c>
      <c r="C14">
        <f t="shared" si="0"/>
        <v>5400</v>
      </c>
      <c r="D14" s="3197">
        <f t="shared" si="1"/>
        <v>5205</v>
      </c>
      <c r="E14" s="1396"/>
      <c r="F14" s="91"/>
      <c r="G14" s="1396"/>
      <c r="H14" s="1364">
        <v>5205</v>
      </c>
      <c r="I14" s="3197">
        <f t="shared" si="2"/>
        <v>195</v>
      </c>
      <c r="J14" s="92"/>
      <c r="K14" s="1397">
        <v>195</v>
      </c>
      <c r="L14" s="92"/>
      <c r="M14" s="1364"/>
      <c r="N14" s="1364"/>
    </row>
    <row r="15" spans="2:14" ht="12.75" customHeight="1">
      <c r="B15" s="1394" t="s">
        <v>3074</v>
      </c>
      <c r="C15">
        <f t="shared" si="0"/>
        <v>1748</v>
      </c>
      <c r="D15" s="3197">
        <f t="shared" si="1"/>
        <v>1518</v>
      </c>
      <c r="E15" s="1396"/>
      <c r="F15" s="1364">
        <f>49+505</f>
        <v>554</v>
      </c>
      <c r="G15" s="1396">
        <v>964</v>
      </c>
      <c r="H15" s="91"/>
      <c r="I15" s="3197">
        <f t="shared" si="2"/>
        <v>230</v>
      </c>
      <c r="J15" s="92">
        <v>70</v>
      </c>
      <c r="K15" s="1397"/>
      <c r="L15" s="92">
        <v>150</v>
      </c>
      <c r="M15" s="92">
        <v>10</v>
      </c>
      <c r="N15" s="1364"/>
    </row>
    <row r="16" spans="2:14" ht="12.75" customHeight="1">
      <c r="B16" s="1394" t="s">
        <v>3075</v>
      </c>
      <c r="C16">
        <f t="shared" si="0"/>
        <v>6584</v>
      </c>
      <c r="D16" s="3197">
        <f t="shared" si="1"/>
        <v>6258</v>
      </c>
      <c r="E16" s="1396"/>
      <c r="F16" s="91"/>
      <c r="G16" s="1396"/>
      <c r="H16" s="91">
        <v>6258</v>
      </c>
      <c r="I16" s="3197">
        <f t="shared" si="2"/>
        <v>326</v>
      </c>
      <c r="J16" s="92"/>
      <c r="K16" s="1397"/>
      <c r="L16" s="92"/>
      <c r="M16" s="92"/>
      <c r="N16" s="92">
        <v>326</v>
      </c>
    </row>
    <row r="17" spans="2:14" ht="12.75" customHeight="1">
      <c r="B17" s="1394" t="s">
        <v>3076</v>
      </c>
      <c r="C17">
        <f t="shared" si="0"/>
        <v>1462</v>
      </c>
      <c r="D17" s="3197">
        <f t="shared" si="1"/>
        <v>1312</v>
      </c>
      <c r="E17" s="1396"/>
      <c r="F17" s="91">
        <v>509</v>
      </c>
      <c r="G17" s="1396">
        <v>803</v>
      </c>
      <c r="H17" s="91"/>
      <c r="I17" s="3197">
        <f t="shared" si="2"/>
        <v>150</v>
      </c>
      <c r="J17" s="92">
        <v>150</v>
      </c>
      <c r="K17" s="1397"/>
      <c r="L17" s="92"/>
      <c r="M17" s="92"/>
      <c r="N17" s="92"/>
    </row>
    <row r="18" spans="2:14" ht="12.75" customHeight="1">
      <c r="B18" s="1394" t="s">
        <v>3077</v>
      </c>
      <c r="C18">
        <f t="shared" si="0"/>
        <v>1113</v>
      </c>
      <c r="D18" s="3197">
        <f t="shared" si="1"/>
        <v>963</v>
      </c>
      <c r="E18" s="1396"/>
      <c r="F18" s="91">
        <v>460</v>
      </c>
      <c r="G18" s="1396">
        <v>503</v>
      </c>
      <c r="H18" s="91"/>
      <c r="I18" s="3197">
        <f t="shared" si="2"/>
        <v>150</v>
      </c>
      <c r="J18" s="92">
        <v>50</v>
      </c>
      <c r="K18" s="1397">
        <v>100</v>
      </c>
      <c r="L18" s="92"/>
      <c r="M18" s="92"/>
      <c r="N18" s="92"/>
    </row>
    <row r="19" spans="2:14" ht="12.75" customHeight="1">
      <c r="B19" s="1394" t="s">
        <v>3078</v>
      </c>
      <c r="C19">
        <f t="shared" si="0"/>
        <v>12916.5</v>
      </c>
      <c r="D19" s="3197">
        <f t="shared" si="1"/>
        <v>12446.5</v>
      </c>
      <c r="E19" s="1396"/>
      <c r="F19" s="91"/>
      <c r="G19" s="1396"/>
      <c r="H19" s="91">
        <v>12446.5</v>
      </c>
      <c r="I19" s="3197">
        <f t="shared" si="2"/>
        <v>470</v>
      </c>
      <c r="J19" s="92"/>
      <c r="K19" s="1396">
        <v>395</v>
      </c>
      <c r="L19" s="92"/>
      <c r="M19" s="92">
        <v>75</v>
      </c>
      <c r="N19" s="92"/>
    </row>
    <row r="20" spans="2:14" ht="12.75" customHeight="1">
      <c r="B20" s="3199" t="s">
        <v>3190</v>
      </c>
      <c r="C20">
        <f>SUM(C4:C19)</f>
        <v>133842.9</v>
      </c>
      <c r="D20">
        <f t="shared" ref="D20:N20" si="3">SUM(D4:D19)</f>
        <v>126444.5</v>
      </c>
      <c r="E20">
        <f t="shared" si="3"/>
        <v>95293</v>
      </c>
      <c r="F20">
        <f t="shared" si="3"/>
        <v>1523</v>
      </c>
      <c r="G20">
        <f t="shared" si="3"/>
        <v>5719</v>
      </c>
      <c r="H20">
        <f t="shared" si="3"/>
        <v>23909.5</v>
      </c>
      <c r="I20">
        <f t="shared" si="3"/>
        <v>7398.4000000000005</v>
      </c>
      <c r="J20">
        <f t="shared" si="3"/>
        <v>782</v>
      </c>
      <c r="K20">
        <f t="shared" si="3"/>
        <v>2497.8000000000002</v>
      </c>
      <c r="L20">
        <f t="shared" si="3"/>
        <v>150</v>
      </c>
      <c r="M20">
        <f t="shared" si="3"/>
        <v>85</v>
      </c>
      <c r="N20">
        <f t="shared" si="3"/>
        <v>3883.6</v>
      </c>
    </row>
  </sheetData>
  <mergeCells count="4">
    <mergeCell ref="C2:C3"/>
    <mergeCell ref="C1:N1"/>
    <mergeCell ref="D2:H2"/>
    <mergeCell ref="I2:N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4"/>
  <sheetViews>
    <sheetView zoomScale="90" zoomScaleNormal="90" zoomScaleSheetLayoutView="90" workbookViewId="0">
      <selection activeCell="F15" sqref="F1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81" t="s">
        <v>202</v>
      </c>
      <c r="B2" s="3281"/>
      <c r="C2" s="3281"/>
      <c r="D2" s="1974" t="s">
        <v>203</v>
      </c>
      <c r="E2" s="106" t="s">
        <v>204</v>
      </c>
      <c r="F2" s="1983"/>
      <c r="G2" s="1198"/>
      <c r="H2" s="1199"/>
      <c r="I2" s="1200" t="s">
        <v>853</v>
      </c>
      <c r="J2" s="1983"/>
      <c r="K2" s="1983"/>
      <c r="L2" s="1983"/>
    </row>
    <row r="3" spans="1:16" ht="15.75" thickBot="1">
      <c r="A3" s="3282" t="s">
        <v>205</v>
      </c>
      <c r="B3" s="3282"/>
      <c r="C3" s="3282"/>
      <c r="D3" s="107">
        <f>'数据-基础表'!AY6</f>
        <v>33824.92</v>
      </c>
      <c r="E3" s="107">
        <f>'数据-基础表'!AZ5</f>
        <v>124921.5</v>
      </c>
      <c r="F3" s="1983"/>
      <c r="G3" s="280" t="s">
        <v>854</v>
      </c>
      <c r="H3" s="275" t="s">
        <v>855</v>
      </c>
      <c r="I3" s="1975">
        <f>ROUND('数据-基础表'!B3/'数据-基础表'!A3,2)</f>
        <v>3.69</v>
      </c>
      <c r="J3" s="1983"/>
      <c r="K3" s="1983"/>
      <c r="L3" s="1983"/>
    </row>
    <row r="4" spans="1:16" ht="15">
      <c r="A4" s="3283"/>
      <c r="B4" s="3284"/>
      <c r="C4" s="3285"/>
      <c r="D4" s="108" t="s">
        <v>203</v>
      </c>
      <c r="E4" s="109" t="s">
        <v>204</v>
      </c>
      <c r="F4" s="1983"/>
      <c r="G4" s="1201"/>
      <c r="H4" s="275" t="s">
        <v>856</v>
      </c>
      <c r="I4" s="1975">
        <f>ROUND(SUMIF('数据-基础表'!I9:AS9,"地上",'数据-基础表'!I5:AS5)/'数据-基础表'!A3,2)</f>
        <v>2.82</v>
      </c>
      <c r="J4" s="1983"/>
      <c r="K4" s="1983"/>
      <c r="L4" s="1983"/>
    </row>
    <row r="5" spans="1:16">
      <c r="A5" s="110" t="s">
        <v>206</v>
      </c>
      <c r="B5" s="3286" t="s">
        <v>229</v>
      </c>
      <c r="C5" s="3286"/>
      <c r="D5" s="111">
        <f>ROUND($D$3*E5/$E$3,2)</f>
        <v>25802.43</v>
      </c>
      <c r="E5" s="112">
        <f>SUMIF('数据-基础表'!$11:$11,"住宅",'数据-基础表'!$5:$5)</f>
        <v>95293</v>
      </c>
      <c r="F5" s="1983"/>
      <c r="G5" s="280" t="s">
        <v>857</v>
      </c>
      <c r="H5" s="275" t="s">
        <v>855</v>
      </c>
      <c r="I5" s="1975">
        <f>ROUND(E31/D31,2)</f>
        <v>3.69</v>
      </c>
      <c r="J5" s="1983"/>
      <c r="K5" s="1983"/>
      <c r="L5" s="1983"/>
    </row>
    <row r="6" spans="1:16" ht="15" thickBot="1">
      <c r="A6" s="113"/>
      <c r="B6" s="3286" t="s">
        <v>207</v>
      </c>
      <c r="C6" s="3286"/>
      <c r="D6" s="111">
        <f>ROUND($D$3*E6/$E$3,2)</f>
        <v>8022.49</v>
      </c>
      <c r="E6" s="112">
        <f>E3-E5</f>
        <v>29628.5</v>
      </c>
      <c r="F6" s="1983"/>
      <c r="G6" s="1201"/>
      <c r="H6" s="275" t="s">
        <v>856</v>
      </c>
      <c r="I6" s="1975">
        <f>ROUND(F31/D31,2)</f>
        <v>2.82</v>
      </c>
      <c r="J6" s="1983"/>
      <c r="K6" s="1983"/>
      <c r="L6" s="1983"/>
    </row>
    <row r="7" spans="1:16" ht="15">
      <c r="A7" s="3278"/>
      <c r="B7" s="3279"/>
      <c r="C7" s="3280"/>
      <c r="D7" s="108" t="s">
        <v>203</v>
      </c>
      <c r="E7" s="114" t="s">
        <v>230</v>
      </c>
      <c r="F7" s="1983"/>
      <c r="G7" s="1156" t="s">
        <v>1642</v>
      </c>
      <c r="H7" s="1157"/>
      <c r="I7" s="1845"/>
      <c r="J7" s="1983"/>
      <c r="K7" s="1983"/>
      <c r="L7" s="1983"/>
      <c r="M7" s="1984">
        <f>144847.9-E3</f>
        <v>19926.399999999994</v>
      </c>
    </row>
    <row r="8" spans="1:16">
      <c r="A8" s="110" t="s">
        <v>208</v>
      </c>
      <c r="B8" s="115" t="s">
        <v>209</v>
      </c>
      <c r="C8" s="111" t="s">
        <v>210</v>
      </c>
      <c r="D8" s="111">
        <f t="shared" ref="D8:D15" si="0">ROUND($D$3*E8/$E$3,2)</f>
        <v>25802.43</v>
      </c>
      <c r="E8" s="116">
        <f>SUMIF('数据-基础表'!BB10:BK10,"地上",'数据-基础表'!BB5:BK5)</f>
        <v>95293</v>
      </c>
      <c r="F8" s="1983"/>
      <c r="G8" s="1985"/>
      <c r="H8" s="1985"/>
      <c r="I8" s="1983"/>
      <c r="J8" s="1983"/>
      <c r="K8" s="1983"/>
      <c r="L8" s="1983"/>
      <c r="M8" s="1984">
        <f>133842.9-E3</f>
        <v>8921.3999999999942</v>
      </c>
    </row>
    <row r="9" spans="1:16">
      <c r="A9" s="117"/>
      <c r="B9" s="118"/>
      <c r="C9" s="111" t="s">
        <v>211</v>
      </c>
      <c r="D9" s="111">
        <f t="shared" si="0"/>
        <v>0</v>
      </c>
      <c r="E9" s="119">
        <f>'数据-基础表'!AH5</f>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1548.53</v>
      </c>
      <c r="E12" s="116">
        <f>SUMPRODUCT(('数据-基础表'!BB10:BK10="地下")*('数据-基础表'!BB11:BK11="仓储")*('数据-基础表'!BB5:BK5))</f>
        <v>5719</v>
      </c>
      <c r="F12" s="1983"/>
      <c r="G12" s="1985"/>
      <c r="H12" s="1985"/>
      <c r="I12" s="1983"/>
      <c r="J12" s="1983"/>
      <c r="K12" s="1983"/>
      <c r="L12" s="1983"/>
    </row>
    <row r="13" spans="1:16">
      <c r="A13" s="117"/>
      <c r="B13" s="118"/>
      <c r="C13" s="2330" t="s">
        <v>2332</v>
      </c>
      <c r="D13" s="111">
        <f t="shared" si="0"/>
        <v>6473.96</v>
      </c>
      <c r="E13" s="116">
        <f>SUMPRODUCT(('数据-基础表'!BB10:BK10="地下")*('数据-基础表'!BB11:BK11="车库")*('数据-基础表'!BB5:BK5))</f>
        <v>23909.5</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33824.92</v>
      </c>
      <c r="E16" s="120">
        <f>SUM(E8:E15)</f>
        <v>124921.5</v>
      </c>
      <c r="F16" s="1983"/>
      <c r="G16" s="1985"/>
      <c r="H16" s="968" t="s">
        <v>218</v>
      </c>
      <c r="I16" s="969"/>
      <c r="J16" s="1983"/>
      <c r="K16" s="3272" t="s">
        <v>2564</v>
      </c>
      <c r="L16" s="3273"/>
      <c r="M16" s="3273"/>
      <c r="N16" s="3273"/>
      <c r="O16" s="3273"/>
      <c r="P16" s="3274"/>
    </row>
    <row r="17" spans="1:19" ht="15">
      <c r="A17" s="121" t="s">
        <v>215</v>
      </c>
      <c r="B17" s="122" t="s">
        <v>216</v>
      </c>
      <c r="C17" s="2297" t="s">
        <v>2311</v>
      </c>
      <c r="D17" s="108" t="s">
        <v>203</v>
      </c>
      <c r="E17" s="124" t="s">
        <v>204</v>
      </c>
      <c r="F17" s="125"/>
      <c r="G17" s="1365"/>
      <c r="H17" s="970" t="s">
        <v>217</v>
      </c>
      <c r="I17" s="971" t="s">
        <v>2310</v>
      </c>
      <c r="J17" s="1983"/>
      <c r="K17" s="3275" t="s">
        <v>2565</v>
      </c>
      <c r="L17" s="3276"/>
      <c r="M17" s="3277"/>
      <c r="N17" s="3275" t="s">
        <v>2566</v>
      </c>
      <c r="O17" s="3276"/>
      <c r="P17" s="3277"/>
      <c r="R17" s="2298" t="s">
        <v>2309</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2307</v>
      </c>
      <c r="S18" s="2299" t="s">
        <v>2308</v>
      </c>
    </row>
    <row r="19" spans="1:19">
      <c r="A19" s="133"/>
      <c r="B19" s="115" t="s">
        <v>224</v>
      </c>
      <c r="C19" s="3023" t="s">
        <v>3082</v>
      </c>
      <c r="D19" s="111">
        <f t="shared" ref="D19:D26" si="1">ROUND($D$3*E19/$E$3,2)</f>
        <v>25802.43</v>
      </c>
      <c r="E19" s="134">
        <f t="shared" ref="E19:E26" si="2">SUM(F19:G19)</f>
        <v>95293</v>
      </c>
      <c r="F19" s="135">
        <f>'数据-基础表'!I5</f>
        <v>95293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25802.43</v>
      </c>
      <c r="S19" s="2300">
        <f t="shared" si="5"/>
        <v>95293</v>
      </c>
    </row>
    <row r="20" spans="1:19">
      <c r="A20" s="138"/>
      <c r="B20" s="115" t="s">
        <v>225</v>
      </c>
      <c r="C20" s="3023" t="s">
        <v>3083</v>
      </c>
      <c r="D20" s="111">
        <f t="shared" si="1"/>
        <v>0</v>
      </c>
      <c r="E20" s="134">
        <f t="shared" si="2"/>
        <v>0</v>
      </c>
      <c r="F20" s="135">
        <f>'数据-基础表'!O5</f>
        <v>0</v>
      </c>
      <c r="G20" s="1367">
        <f>'数据-基础表'!Q5</f>
        <v>0</v>
      </c>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225</v>
      </c>
      <c r="C21" s="3023" t="s">
        <v>3084</v>
      </c>
      <c r="D21" s="111">
        <f t="shared" si="1"/>
        <v>1548.53</v>
      </c>
      <c r="E21" s="134">
        <f t="shared" si="2"/>
        <v>5719</v>
      </c>
      <c r="F21" s="135"/>
      <c r="G21" s="1367">
        <f>'数据-基础表'!K5</f>
        <v>5719</v>
      </c>
      <c r="H21" s="974">
        <f t="shared" si="6"/>
        <v>0</v>
      </c>
      <c r="I21" s="116">
        <f t="shared" si="7"/>
        <v>0</v>
      </c>
      <c r="J21" s="1983"/>
      <c r="K21" s="2607">
        <f t="shared" si="3"/>
        <v>0</v>
      </c>
      <c r="L21" s="275">
        <f t="shared" si="4"/>
        <v>0</v>
      </c>
      <c r="M21" s="2608">
        <f t="shared" si="8"/>
        <v>0</v>
      </c>
      <c r="N21" s="2609"/>
      <c r="O21" s="2610"/>
      <c r="P21" s="2611">
        <f t="shared" si="9"/>
        <v>0</v>
      </c>
      <c r="R21" s="275">
        <f t="shared" si="5"/>
        <v>1548.53</v>
      </c>
      <c r="S21" s="2300">
        <f t="shared" si="5"/>
        <v>5719</v>
      </c>
    </row>
    <row r="22" spans="1:19">
      <c r="A22" s="138"/>
      <c r="B22" s="115" t="s">
        <v>225</v>
      </c>
      <c r="C22" s="3185" t="s">
        <v>3085</v>
      </c>
      <c r="D22" s="111">
        <f t="shared" si="1"/>
        <v>6473.96</v>
      </c>
      <c r="E22" s="134">
        <f t="shared" si="2"/>
        <v>23909.5</v>
      </c>
      <c r="F22" s="140"/>
      <c r="G22" s="1368">
        <f>'数据-基础表'!M5</f>
        <v>23909.5</v>
      </c>
      <c r="H22" s="974">
        <f t="shared" si="6"/>
        <v>0</v>
      </c>
      <c r="I22" s="116">
        <f t="shared" si="7"/>
        <v>0</v>
      </c>
      <c r="J22" s="1983"/>
      <c r="K22" s="2607">
        <f t="shared" si="3"/>
        <v>0</v>
      </c>
      <c r="L22" s="275">
        <f t="shared" si="4"/>
        <v>0</v>
      </c>
      <c r="M22" s="2608">
        <f t="shared" si="8"/>
        <v>0</v>
      </c>
      <c r="N22" s="2609"/>
      <c r="O22" s="2610"/>
      <c r="P22" s="2611">
        <f t="shared" si="9"/>
        <v>0</v>
      </c>
      <c r="R22" s="275">
        <f t="shared" si="5"/>
        <v>6473.96</v>
      </c>
      <c r="S22" s="2300">
        <f t="shared" si="5"/>
        <v>23909.5</v>
      </c>
    </row>
    <row r="23" spans="1:19">
      <c r="A23" s="138"/>
      <c r="B23" s="115" t="s">
        <v>225</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3.5" thickBot="1">
      <c r="A27" s="138"/>
      <c r="B27" s="111"/>
      <c r="C27" s="127" t="s">
        <v>214</v>
      </c>
      <c r="D27" s="134">
        <f>SUM(D19:D26)</f>
        <v>33824.92</v>
      </c>
      <c r="E27" s="143">
        <f>IF(SUM(E19:E26)='数据-基础表'!BA5,SUM(E19:E26),IF(F27="地上面积有误","面积有误","地下面积有误"))</f>
        <v>124921.5</v>
      </c>
      <c r="F27" s="134">
        <f>IF(SUM(F19:F26)=E8,SUM(F19:F26),"地上面积有误")</f>
        <v>95293</v>
      </c>
      <c r="G27" s="112">
        <f>SUM(G19:G26)</f>
        <v>29628.5</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33824.92</v>
      </c>
      <c r="S27" s="275">
        <f>IF(SUM(S19:S26)=$E$3,SUM(S19:S26),SUM(S19:S26)&amp;"误差"&amp;ROUND(SUM(S19:S26)-E3,2))</f>
        <v>124921.5</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2318</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2320</v>
      </c>
      <c r="D31" s="1371">
        <f>D27+D30</f>
        <v>33824.92</v>
      </c>
      <c r="E31" s="1371">
        <f>E27+E30</f>
        <v>124921.5</v>
      </c>
      <c r="F31" s="1372">
        <f>F27+F30</f>
        <v>95293</v>
      </c>
      <c r="G31" s="1373">
        <f>G27+G30</f>
        <v>29628.5</v>
      </c>
      <c r="H31" s="1983"/>
      <c r="I31" s="1983"/>
      <c r="J31" s="1983"/>
      <c r="K31" s="1983"/>
      <c r="L31" s="1983"/>
    </row>
    <row r="32" spans="1:19">
      <c r="A32" s="1983"/>
      <c r="B32" s="2362" t="s">
        <v>2319</v>
      </c>
      <c r="C32" s="2646"/>
      <c r="D32" s="1201"/>
      <c r="E32" s="1201">
        <f>SUMIF(C19:C26,"*住宅*",E19:E26)</f>
        <v>0</v>
      </c>
      <c r="F32" s="1201"/>
      <c r="G32" s="1201"/>
    </row>
    <row r="33" spans="4:6">
      <c r="D33" s="1987"/>
    </row>
    <row r="34" spans="4:6">
      <c r="F34"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1"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M15" activePane="bottomRight" state="frozen"/>
      <selection pane="topRight" activeCell="D1" sqref="D1"/>
      <selection pane="bottomLeft" activeCell="A4" sqref="A4"/>
      <selection pane="bottomRight" activeCell="N30" sqref="N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43427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8"/>
      <c r="Y5" s="170" t="s">
        <v>253</v>
      </c>
      <c r="Z5" s="171" t="s">
        <v>254</v>
      </c>
      <c r="AA5" s="159" t="s">
        <v>251</v>
      </c>
      <c r="AB5" s="159" t="s">
        <v>252</v>
      </c>
      <c r="AC5" s="1819"/>
      <c r="AD5" s="172" t="s">
        <v>253</v>
      </c>
      <c r="AE5" s="1" t="s">
        <v>866</v>
      </c>
      <c r="AF5" s="159" t="s">
        <v>255</v>
      </c>
      <c r="AG5" s="170" t="s">
        <v>256</v>
      </c>
      <c r="AH5" s="1819" t="s">
        <v>2321</v>
      </c>
      <c r="AI5" s="171" t="s">
        <v>2290</v>
      </c>
      <c r="AJ5" s="171" t="s">
        <v>257</v>
      </c>
      <c r="AK5" s="159" t="s">
        <v>258</v>
      </c>
      <c r="AL5" s="159" t="s">
        <v>259</v>
      </c>
      <c r="AM5" s="172" t="s">
        <v>260</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共有产权住房</v>
      </c>
      <c r="B6" s="2336" t="str">
        <f>IF(A6=0,"","经营性")</f>
        <v>经营性</v>
      </c>
      <c r="C6" s="173" t="s">
        <v>919</v>
      </c>
      <c r="D6" s="2307">
        <f>SUMIF(项目基本情况!D$15:I$15,C6,项目基本情况!D$18:I$18)</f>
        <v>70</v>
      </c>
      <c r="E6" s="2308">
        <f>IF(B6="","",SUMIF(项目基本情况!D$15:I$15,C6,项目基本情况!D$17:I$17))</f>
        <v>68749</v>
      </c>
      <c r="F6" s="174">
        <f>SUMIF(项目基本情况!D$15:I$15,C6,项目基本情况!D$19:I$19)</f>
        <v>69.37</v>
      </c>
      <c r="G6" s="175">
        <f>IF(ISERROR(ROUND(POWER(1+H6,D6-F6)*(POWER(1+H6,F6)-1)/(POWER(1+H6,D6)-1),3)),0,ROUND(POWER(1+H6,D6-F6)*(POWER(1+H6,F6)-1)/(POWER(1+H6,D6)-1),3))</f>
        <v>0.998</v>
      </c>
      <c r="H6" s="3024">
        <v>0.04</v>
      </c>
      <c r="I6" s="3024">
        <v>4.4999999999999998E-2</v>
      </c>
      <c r="J6" s="176">
        <v>0.08</v>
      </c>
      <c r="K6" s="179">
        <f>SUMIF('数据-汇总表'!C$19:C$33,'数据-取费表'!A6,'数据-汇总表'!E$19:E$33)</f>
        <v>95293</v>
      </c>
      <c r="L6" s="3025">
        <v>2650</v>
      </c>
      <c r="M6" s="177">
        <f t="shared" ref="M6:M14" si="0">ROUND(K6*L6/10000,0)</f>
        <v>25253</v>
      </c>
      <c r="N6" s="3026">
        <v>0</v>
      </c>
      <c r="O6" s="177">
        <f>IF($N$5="成新度","——",ROUND(M6*N6,0))</f>
        <v>0</v>
      </c>
      <c r="P6" s="178">
        <f>IF($N$5="成新度","——",M6-O6)</f>
        <v>25253</v>
      </c>
      <c r="Q6" s="3027">
        <v>0.1</v>
      </c>
      <c r="R6" s="179">
        <f>SUMIF('数据-汇总表'!C$19:C$33,A6,'数据-汇总表'!R$19:R$33)</f>
        <v>25802.43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2389">
        <v>0.01</v>
      </c>
      <c r="AN6" s="2391"/>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3047</v>
      </c>
      <c r="D7" s="2307">
        <f>SUMIF(项目基本情况!D$15:I$15,C7,项目基本情况!D$18:I$18)</f>
        <v>40</v>
      </c>
      <c r="E7" s="2308">
        <f>IF(B7="","",SUMIF(项目基本情况!D$15:I$15,C7,项目基本情况!D$17:I$17))</f>
        <v>57791</v>
      </c>
      <c r="F7" s="174">
        <f>SUMIF(项目基本情况!D$15:I$15,C7,项目基本情况!D$19:I$19)</f>
        <v>39.35</v>
      </c>
      <c r="G7" s="175">
        <f t="shared" ref="G7:G11" si="2">IF(ISERROR(ROUND(POWER(1+H7,D7-F7)*(POWER(1+H7,F7)-1)/(POWER(1+H7,D7)-1),3)),0,ROUND(POWER(1+H7,D7-F7)*(POWER(1+H7,F7)-1)/(POWER(1+H7,D7)-1),3))</f>
        <v>0.995</v>
      </c>
      <c r="H7" s="3024">
        <v>0.05</v>
      </c>
      <c r="I7" s="3024">
        <v>5.5E-2</v>
      </c>
      <c r="J7" s="176">
        <v>0.08</v>
      </c>
      <c r="K7" s="179">
        <f>SUMIF('数据-汇总表'!C$19:C$33,'数据-取费表'!A7,'数据-汇总表'!E$19:E$33)</f>
        <v>0</v>
      </c>
      <c r="L7" s="3025">
        <v>2650</v>
      </c>
      <c r="M7" s="177">
        <f t="shared" si="0"/>
        <v>0</v>
      </c>
      <c r="N7" s="3026">
        <v>0</v>
      </c>
      <c r="O7" s="177">
        <f t="shared" ref="O7:O14" si="3">IF($N$5="成新度","——",ROUND(M7*N7,0))</f>
        <v>0</v>
      </c>
      <c r="P7" s="178">
        <f t="shared" ref="P7:P14" si="4">IF($N$5="成新度","——",M7-O7)</f>
        <v>0</v>
      </c>
      <c r="Q7" s="3027">
        <v>0.15</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5">
        <v>3.5</v>
      </c>
      <c r="V7" s="181">
        <v>0</v>
      </c>
      <c r="W7" s="181">
        <v>0.05</v>
      </c>
      <c r="X7" s="2320"/>
      <c r="Y7" s="182">
        <v>1</v>
      </c>
      <c r="Z7" s="183"/>
      <c r="AA7" s="176"/>
      <c r="AB7" s="176"/>
      <c r="AC7" s="2323"/>
      <c r="AD7" s="184"/>
      <c r="AE7" s="972">
        <f t="shared" ref="AE7:AE13" ca="1" si="6">IF(AN7="",0,SUMIF(INDIRECT("'"&amp;AN7&amp;"'"&amp;"!E:E"),$AE$5,INDIRECT("'"&amp;AN7&amp;"'"&amp;"!F:F")))</f>
        <v>37.35</v>
      </c>
      <c r="AF7" s="141"/>
      <c r="AG7" s="1213">
        <f t="shared" ref="AG7:AG13" si="7">IF(AF7="",0,AE7-AF7)</f>
        <v>0</v>
      </c>
      <c r="AH7" s="141"/>
      <c r="AI7" s="187">
        <v>365</v>
      </c>
      <c r="AJ7" s="188"/>
      <c r="AK7" s="189">
        <v>1.4999999999999999E-2</v>
      </c>
      <c r="AL7" s="190">
        <v>1.5E-3</v>
      </c>
      <c r="AM7" s="2389">
        <v>0.01</v>
      </c>
      <c r="AN7" s="2391" t="s">
        <v>3130</v>
      </c>
      <c r="AO7" s="1999"/>
      <c r="AP7" s="1204">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仓储</v>
      </c>
      <c r="B8" s="2336" t="str">
        <f t="shared" si="1"/>
        <v>经营性</v>
      </c>
      <c r="C8" s="173" t="s">
        <v>3080</v>
      </c>
      <c r="D8" s="2307">
        <f>SUMIF(项目基本情况!D$15:I$15,C8,项目基本情况!D$18:I$18)</f>
        <v>50</v>
      </c>
      <c r="E8" s="2308">
        <f>IF(B8="","",SUMIF(项目基本情况!D$15:I$15,C8,项目基本情况!D$17:I$17))</f>
        <v>61444</v>
      </c>
      <c r="F8" s="174">
        <f>SUMIF(项目基本情况!D$15:I$15,C8,项目基本情况!D$19:I$19)</f>
        <v>49.36</v>
      </c>
      <c r="G8" s="175">
        <f t="shared" si="2"/>
        <v>0.996</v>
      </c>
      <c r="H8" s="3024">
        <v>4.4999999999999998E-2</v>
      </c>
      <c r="I8" s="3024">
        <v>0.05</v>
      </c>
      <c r="J8" s="176">
        <v>0.08</v>
      </c>
      <c r="K8" s="179">
        <f>SUMIF('数据-汇总表'!C$19:C$33,'数据-取费表'!A8,'数据-汇总表'!E$19:E$33)</f>
        <v>5719</v>
      </c>
      <c r="L8" s="3025">
        <v>2150</v>
      </c>
      <c r="M8" s="177">
        <f>ROUND(K8*L8/10000,0)</f>
        <v>1230</v>
      </c>
      <c r="N8" s="3026">
        <v>0</v>
      </c>
      <c r="O8" s="177">
        <f t="shared" si="3"/>
        <v>0</v>
      </c>
      <c r="P8" s="178">
        <f t="shared" si="4"/>
        <v>1230</v>
      </c>
      <c r="Q8" s="3027">
        <v>0.05</v>
      </c>
      <c r="R8" s="179">
        <f>SUMIF('数据-汇总表'!C$19:C$33,A8,'数据-汇总表'!R$19:R$33)</f>
        <v>1548.53</v>
      </c>
      <c r="S8" s="132">
        <f>IF('数据-汇总表'!$I$17="按面积比例",SUMIF('数据-汇总表'!C$19:C$33,A8,'数据-汇总表'!K$19:K$33),SUMIF('数据-汇总表'!C$19:C$33,A8,'数据-汇总表'!N$19:N$33))</f>
        <v>0</v>
      </c>
      <c r="T8" s="2233" t="str">
        <f t="shared" si="5"/>
        <v>0</v>
      </c>
      <c r="U8" s="180">
        <v>1</v>
      </c>
      <c r="V8" s="181">
        <v>0</v>
      </c>
      <c r="W8" s="181">
        <v>0.05</v>
      </c>
      <c r="X8" s="2320"/>
      <c r="Y8" s="182">
        <v>1</v>
      </c>
      <c r="Z8" s="183"/>
      <c r="AA8" s="176"/>
      <c r="AB8" s="176"/>
      <c r="AC8" s="2323"/>
      <c r="AD8" s="184"/>
      <c r="AE8" s="972">
        <f t="shared" ca="1" si="6"/>
        <v>47.36</v>
      </c>
      <c r="AF8" s="141"/>
      <c r="AG8" s="1213">
        <f t="shared" si="7"/>
        <v>0</v>
      </c>
      <c r="AH8" s="141"/>
      <c r="AI8" s="187">
        <v>365</v>
      </c>
      <c r="AJ8" s="188"/>
      <c r="AK8" s="189">
        <v>1.4999999999999999E-2</v>
      </c>
      <c r="AL8" s="190">
        <v>1.5E-3</v>
      </c>
      <c r="AM8" s="2389">
        <v>0.01</v>
      </c>
      <c r="AN8" s="2391" t="s">
        <v>3128</v>
      </c>
      <c r="AO8" s="1999"/>
      <c r="AP8" s="1204">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3073</v>
      </c>
      <c r="D9" s="2307">
        <f>SUMIF(项目基本情况!D$15:I$15,C9,项目基本情况!D$18:I$18)</f>
        <v>50</v>
      </c>
      <c r="E9" s="2308">
        <f>IF(B9="","",SUMIF(项目基本情况!D$15:I$15,C9,项目基本情况!D$17:I$17))</f>
        <v>61444</v>
      </c>
      <c r="F9" s="174">
        <f>SUMIF(项目基本情况!D$15:I$15,C9,项目基本情况!D$19:I$19)</f>
        <v>49.36</v>
      </c>
      <c r="G9" s="175">
        <f t="shared" si="2"/>
        <v>0.996</v>
      </c>
      <c r="H9" s="3024">
        <v>4.4999999999999998E-2</v>
      </c>
      <c r="I9" s="3024">
        <v>0.05</v>
      </c>
      <c r="J9" s="176">
        <v>0.08</v>
      </c>
      <c r="K9" s="179">
        <f>SUMIF('数据-汇总表'!C$19:C$33,'数据-取费表'!A9,'数据-汇总表'!E$19:E$33)</f>
        <v>23909.5</v>
      </c>
      <c r="L9" s="3025">
        <v>2150</v>
      </c>
      <c r="M9" s="177">
        <f t="shared" si="0"/>
        <v>5141</v>
      </c>
      <c r="N9" s="3026">
        <v>0</v>
      </c>
      <c r="O9" s="177">
        <f t="shared" si="3"/>
        <v>0</v>
      </c>
      <c r="P9" s="178">
        <f t="shared" si="4"/>
        <v>5141</v>
      </c>
      <c r="Q9" s="192">
        <v>0.05</v>
      </c>
      <c r="R9" s="179">
        <f>SUMIF('数据-汇总表'!C$19:C$33,A9,'数据-汇总表'!R$19:R$33)</f>
        <v>6473.96</v>
      </c>
      <c r="S9" s="132">
        <f>IF('数据-汇总表'!$I$17="按面积比例",SUMIF('数据-汇总表'!C$19:C$33,A9,'数据-汇总表'!K$19:K$33),SUMIF('数据-汇总表'!C$19:C$33,A9,'数据-汇总表'!N$19:N$33))</f>
        <v>0</v>
      </c>
      <c r="T9" s="2233" t="str">
        <f t="shared" si="5"/>
        <v>0</v>
      </c>
      <c r="U9" s="3191">
        <v>1</v>
      </c>
      <c r="V9" s="181">
        <v>0</v>
      </c>
      <c r="W9" s="181">
        <v>0.05</v>
      </c>
      <c r="X9" s="2320"/>
      <c r="Y9" s="182">
        <v>1</v>
      </c>
      <c r="Z9" s="183"/>
      <c r="AA9" s="176"/>
      <c r="AB9" s="176"/>
      <c r="AC9" s="2323"/>
      <c r="AD9" s="184"/>
      <c r="AE9" s="972">
        <f t="shared" ca="1" si="6"/>
        <v>47.36</v>
      </c>
      <c r="AF9" s="141"/>
      <c r="AG9" s="1213">
        <f t="shared" si="7"/>
        <v>0</v>
      </c>
      <c r="AH9" s="141"/>
      <c r="AI9" s="187">
        <v>365</v>
      </c>
      <c r="AJ9" s="188"/>
      <c r="AK9" s="189">
        <v>1.4999999999999999E-2</v>
      </c>
      <c r="AL9" s="190">
        <v>1.5E-3</v>
      </c>
      <c r="AM9" s="2389">
        <v>0.01</v>
      </c>
      <c r="AN9" s="2391" t="s">
        <v>3131</v>
      </c>
      <c r="AO9" s="1999"/>
      <c r="AP9" s="1204">
        <f t="shared" si="8"/>
        <v>0.88600000000000001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1676</v>
      </c>
      <c r="C14" s="2306" t="s">
        <v>2312</v>
      </c>
      <c r="D14" s="2307"/>
      <c r="E14" s="2308"/>
      <c r="F14" s="174"/>
      <c r="G14" s="175"/>
      <c r="H14" s="2309"/>
      <c r="I14" s="2309"/>
      <c r="J14" s="2309"/>
      <c r="K14" s="179">
        <f>SUMIF('数据-汇总表'!C$19:C$33,'数据-取费表'!A14,'数据-汇总表'!E$19:E$33)</f>
        <v>0</v>
      </c>
      <c r="L14" s="193">
        <f>L9</f>
        <v>2150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1676</v>
      </c>
      <c r="C15" s="2306" t="s">
        <v>2313</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0.998</v>
      </c>
      <c r="H16" s="203">
        <f>ROUND(SUMPRODUCT(H6:H13,K6:K13)/SUMPRODUCT((H6:H13&gt;0)*(K6:K13)),3)</f>
        <v>4.1000000000000002E-2</v>
      </c>
      <c r="I16" s="204"/>
      <c r="J16" s="204"/>
      <c r="K16" s="205">
        <f>SUM(K6:K15)</f>
        <v>124921.5</v>
      </c>
      <c r="L16" s="206">
        <f>ROUND(M16*10000/SUM(K6:K14),0)</f>
        <v>2532</v>
      </c>
      <c r="M16" s="206">
        <f>SUM(M6:M14)</f>
        <v>31624</v>
      </c>
      <c r="N16" s="207">
        <f>ROUND(SUMPRODUCT(M6:M14,N6:N14)/M16,3)</f>
        <v>0</v>
      </c>
      <c r="O16" s="206">
        <f>SUM(O6:O14)</f>
        <v>0</v>
      </c>
      <c r="P16" s="206">
        <f>SUM(P6:P14)</f>
        <v>31624</v>
      </c>
      <c r="Q16" s="208">
        <f>ROUND(SUMPRODUCT(Q6:Q13,K6:K13)/SUMPRODUCT((Q6:Q13&gt;0)*(K6:K13)),2)</f>
        <v>0.09</v>
      </c>
      <c r="R16" s="2310">
        <f>SUM(R6:R13)</f>
        <v>33824.92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0.92300000000000004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0.03</v>
      </c>
      <c r="C34" s="2364" t="s">
        <v>2888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0.01</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0.01</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0.05</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v>0</v>
      </c>
      <c r="C47" s="3072"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1406</v>
      </c>
      <c r="C53" s="3074" t="s">
        <v>2898</v>
      </c>
      <c r="D53" s="3075"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2900</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2901</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2902</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2903</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2904</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2905</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8" priority="12" stopIfTrue="1" operator="containsText" text="自行计算">
      <formula>NOT(ISERROR(SEARCH("自行计算",T6)))</formula>
    </cfRule>
    <cfRule type="containsText" dxfId="7" priority="13" stopIfTrue="1" operator="containsText" text="自行计算">
      <formula>NOT(ISERROR(SEARCH("自行计算",T6)))</formula>
    </cfRule>
  </conditionalFormatting>
  <conditionalFormatting sqref="T6:T13">
    <cfRule type="containsText" dxfId="6" priority="10" stopIfTrue="1" operator="containsText" text="自行计算">
      <formula>NOT(ISERROR(SEARCH("自行计算",T6)))</formula>
    </cfRule>
    <cfRule type="containsText" dxfId="5" priority="11" stopIfTrue="1" operator="containsText" text="自行计算">
      <formula>NOT(ISERROR(SEARCH("自行计算",T6)))</formula>
    </cfRule>
  </conditionalFormatting>
  <conditionalFormatting sqref="T12:T13">
    <cfRule type="containsText" dxfId="4" priority="4" stopIfTrue="1" operator="containsText" text="自行计算">
      <formula>NOT(ISERROR(SEARCH("自行计算",T12)))</formula>
    </cfRule>
    <cfRule type="containsText" dxfId="3" priority="5" stopIfTrue="1" operator="containsText" text="自行计算">
      <formula>NOT(ISERROR(SEARCH("自行计算",T12)))</formula>
    </cfRule>
  </conditionalFormatting>
  <conditionalFormatting sqref="T12:T13">
    <cfRule type="containsText" dxfId="2" priority="2" stopIfTrue="1" operator="containsText" text="自行计算">
      <formula>NOT(ISERROR(SEARCH("自行计算",T12)))</formula>
    </cfRule>
    <cfRule type="containsText" dxfId="1" priority="3" stopIfTrue="1" operator="containsText" text="自行计算">
      <formula>NOT(ISERROR(SEARCH("自行计算",T12)))</formula>
    </cfRule>
  </conditionalFormatting>
  <conditionalFormatting sqref="T6:T15">
    <cfRule type="expression" dxfId="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8"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1660</v>
      </c>
      <c r="B1" s="3288"/>
      <c r="C1" s="3288"/>
      <c r="D1" s="3288"/>
      <c r="E1" s="3288"/>
      <c r="F1" s="3288"/>
      <c r="G1" s="3288"/>
      <c r="H1" s="2001"/>
      <c r="I1" s="2002"/>
      <c r="J1" s="2003"/>
      <c r="K1" s="2001"/>
      <c r="L1" s="2002"/>
      <c r="M1" s="2003"/>
      <c r="N1" s="2001"/>
      <c r="O1" s="2002"/>
      <c r="P1" s="2003"/>
      <c r="Q1" s="2004"/>
      <c r="R1" s="2005"/>
    </row>
    <row r="2" spans="1:18" ht="14.25" thickBot="1">
      <c r="A2" s="1221"/>
      <c r="B2" s="1222"/>
      <c r="C2" s="1223" t="s">
        <v>1661</v>
      </c>
      <c r="D2" s="1224"/>
      <c r="E2" s="1225"/>
      <c r="F2" s="1226"/>
      <c r="G2" s="1223" t="s">
        <v>1662</v>
      </c>
      <c r="H2" s="2007"/>
      <c r="I2" s="2007"/>
      <c r="J2" s="2007"/>
      <c r="K2" s="2007"/>
      <c r="L2" s="2007"/>
      <c r="M2" s="2007"/>
      <c r="N2" s="2007"/>
      <c r="O2" s="2007"/>
      <c r="P2" s="2007"/>
      <c r="Q2" s="2007"/>
      <c r="R2" s="2007"/>
    </row>
    <row r="3" spans="1:18" ht="42.75">
      <c r="A3" s="1227" t="s">
        <v>1663</v>
      </c>
      <c r="B3" s="1228" t="s">
        <v>1650</v>
      </c>
      <c r="C3" s="3496" t="s">
        <v>3194</v>
      </c>
      <c r="D3" s="2008"/>
      <c r="E3" s="1229" t="s">
        <v>1663</v>
      </c>
      <c r="F3" s="1230" t="s">
        <v>1651</v>
      </c>
      <c r="G3" s="3081" t="s">
        <v>2914</v>
      </c>
      <c r="H3" s="2007"/>
      <c r="I3" s="2007"/>
      <c r="J3" s="2007"/>
      <c r="K3" s="2007"/>
      <c r="L3" s="2007"/>
      <c r="M3" s="2007"/>
      <c r="N3" s="2007"/>
      <c r="O3" s="2007"/>
      <c r="P3" s="2007"/>
      <c r="Q3" s="2007"/>
      <c r="R3" s="2007"/>
    </row>
    <row r="4" spans="1:18" ht="54">
      <c r="A4" s="1229"/>
      <c r="B4" s="1231" t="s">
        <v>1664</v>
      </c>
      <c r="C4" s="3498" t="s">
        <v>3195</v>
      </c>
      <c r="D4" s="2008"/>
      <c r="E4" s="1232"/>
      <c r="F4" s="1233" t="s">
        <v>1665</v>
      </c>
      <c r="G4" s="3079" t="s">
        <v>2911</v>
      </c>
      <c r="H4" s="2007"/>
      <c r="I4" s="2007"/>
      <c r="J4" s="2007"/>
      <c r="K4" s="2007"/>
      <c r="L4" s="2007"/>
      <c r="M4" s="2007"/>
      <c r="N4" s="2007"/>
      <c r="O4" s="2007"/>
      <c r="P4" s="2007"/>
      <c r="Q4" s="2007"/>
      <c r="R4" s="2007"/>
    </row>
    <row r="5" spans="1:18" ht="27">
      <c r="A5" s="1229"/>
      <c r="B5" s="1231" t="s">
        <v>1666</v>
      </c>
      <c r="C5" s="3498" t="s">
        <v>3196</v>
      </c>
      <c r="D5" s="2008"/>
      <c r="E5" s="1232"/>
      <c r="F5" s="1231" t="s">
        <v>2544</v>
      </c>
      <c r="G5" s="3079" t="s">
        <v>2912</v>
      </c>
      <c r="H5" s="2007"/>
      <c r="I5" s="2007"/>
      <c r="J5" s="2007"/>
      <c r="K5" s="2007"/>
      <c r="L5" s="2007"/>
      <c r="M5" s="2007"/>
      <c r="N5" s="2007"/>
      <c r="O5" s="2007"/>
      <c r="P5" s="2007"/>
      <c r="Q5" s="2007"/>
      <c r="R5" s="2007"/>
    </row>
    <row r="6" spans="1:18" ht="81">
      <c r="A6" s="1229"/>
      <c r="B6" s="1231" t="s">
        <v>1652</v>
      </c>
      <c r="C6" s="3497" t="s">
        <v>3191</v>
      </c>
      <c r="D6" s="2008"/>
      <c r="E6" s="1232"/>
      <c r="F6" s="1231" t="s">
        <v>2545</v>
      </c>
      <c r="G6" s="3079" t="s">
        <v>2910</v>
      </c>
      <c r="H6" s="2007"/>
      <c r="I6" s="2007"/>
      <c r="J6" s="2007"/>
      <c r="K6" s="2007"/>
      <c r="L6" s="2007"/>
      <c r="M6" s="2007"/>
      <c r="N6" s="2007"/>
      <c r="O6" s="2007"/>
      <c r="P6" s="2007"/>
      <c r="Q6" s="2007"/>
      <c r="R6" s="2007"/>
    </row>
    <row r="7" spans="1:18" ht="41.25" thickBot="1">
      <c r="A7" s="1229"/>
      <c r="B7" s="1231" t="s">
        <v>2544</v>
      </c>
      <c r="C7" s="3079" t="s">
        <v>2912</v>
      </c>
      <c r="D7" s="2009"/>
      <c r="E7" s="1234"/>
      <c r="F7" s="1235" t="s">
        <v>1667</v>
      </c>
      <c r="G7" s="3082" t="s">
        <v>2913</v>
      </c>
      <c r="H7" s="2007"/>
      <c r="I7" s="2007"/>
      <c r="J7" s="2007"/>
      <c r="K7" s="2007"/>
      <c r="L7" s="2007"/>
      <c r="M7" s="2007"/>
      <c r="N7" s="2007"/>
      <c r="O7" s="2007"/>
      <c r="P7" s="2007"/>
      <c r="Q7" s="2007"/>
      <c r="R7" s="2007"/>
    </row>
    <row r="8" spans="1:18" ht="27">
      <c r="A8" s="1229"/>
      <c r="B8" s="1231" t="s">
        <v>2545</v>
      </c>
      <c r="C8" s="3497" t="s">
        <v>3193</v>
      </c>
      <c r="D8" s="2009"/>
      <c r="E8" s="2009"/>
      <c r="F8" s="1553"/>
      <c r="G8" s="1553"/>
      <c r="H8" s="2007"/>
      <c r="I8" s="2007"/>
      <c r="J8" s="2007"/>
      <c r="K8" s="2007"/>
      <c r="L8" s="2007"/>
      <c r="M8" s="2007"/>
      <c r="N8" s="2007"/>
      <c r="O8" s="2007"/>
      <c r="P8" s="2007"/>
      <c r="Q8" s="2007"/>
      <c r="R8" s="2007"/>
    </row>
    <row r="9" spans="1:18" ht="40.5">
      <c r="A9" s="1229"/>
      <c r="B9" s="1231" t="s">
        <v>1653</v>
      </c>
      <c r="C9" s="3498" t="s">
        <v>3192</v>
      </c>
      <c r="D9" s="2008"/>
      <c r="E9" s="2009"/>
      <c r="F9" s="1553"/>
      <c r="G9" s="1553"/>
      <c r="H9" s="2007"/>
      <c r="I9" s="2007"/>
      <c r="J9" s="2007"/>
      <c r="K9" s="2007"/>
      <c r="L9" s="2007"/>
      <c r="M9" s="2007"/>
      <c r="N9" s="2007"/>
      <c r="O9" s="2007"/>
      <c r="P9" s="2007"/>
      <c r="Q9" s="2007"/>
      <c r="R9" s="2007"/>
    </row>
    <row r="10" spans="1:18" s="2015" customFormat="1" ht="15" thickBot="1">
      <c r="A10" s="1236"/>
      <c r="B10" s="1237" t="s">
        <v>1668</v>
      </c>
      <c r="C10" s="3080"/>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1669</v>
      </c>
      <c r="B13" s="2577"/>
      <c r="C13" s="2577"/>
      <c r="D13" s="1224"/>
      <c r="E13" s="2577"/>
      <c r="F13" s="2577"/>
      <c r="G13" s="2577"/>
    </row>
    <row r="14" spans="1:18" ht="14.25" thickBot="1">
      <c r="A14" s="1238"/>
      <c r="B14" s="1239"/>
      <c r="C14" s="1240" t="s">
        <v>1661</v>
      </c>
      <c r="D14" s="2008"/>
      <c r="E14" s="1241"/>
      <c r="F14" s="1241"/>
      <c r="G14" s="1223" t="s">
        <v>1662</v>
      </c>
    </row>
    <row r="15" spans="1:18" ht="54">
      <c r="A15" s="2587" t="s">
        <v>1654</v>
      </c>
      <c r="B15" s="1242" t="s">
        <v>1650</v>
      </c>
      <c r="C15" s="1243" t="str">
        <f>C3</f>
        <v>估价对象周边居住社区成熟度一般，有次渠家园东里等居住社区。</v>
      </c>
      <c r="D15" s="2008"/>
      <c r="E15" s="2584" t="s">
        <v>1655</v>
      </c>
      <c r="F15" s="1242" t="s">
        <v>1670</v>
      </c>
      <c r="G15" s="1244" t="str">
        <f>G3</f>
        <v>估价对象位于XX开发区，园区建设成熟度XX，产业集聚程度XX</v>
      </c>
    </row>
    <row r="16" spans="1:18" ht="40.5">
      <c r="A16" s="2588"/>
      <c r="B16" s="1245" t="s">
        <v>1664</v>
      </c>
      <c r="C16" s="1246" t="str">
        <f>C4</f>
        <v>估价对象周边商业氛围一般，无大型购物中心，人流量一般，商业繁华度一般。</v>
      </c>
      <c r="D16" s="2008"/>
      <c r="E16" s="2585"/>
      <c r="F16" s="1247" t="s">
        <v>1665</v>
      </c>
      <c r="G16" s="1005" t="str">
        <f>G4</f>
        <v>估价对象周边道路状况、公共交通通达情况、停车便捷程度，综合评价交通便捷度较好</v>
      </c>
    </row>
    <row r="17" spans="1:7" ht="40.5">
      <c r="A17" s="2588"/>
      <c r="B17" s="1245" t="s">
        <v>1666</v>
      </c>
      <c r="C17" s="1246" t="str">
        <f>C5</f>
        <v>——</v>
      </c>
      <c r="D17" s="2009"/>
      <c r="E17" s="2585"/>
      <c r="F17" s="1247" t="s">
        <v>1671</v>
      </c>
      <c r="G17" s="2793"/>
    </row>
    <row r="18" spans="1:7" ht="54">
      <c r="A18" s="2588"/>
      <c r="B18" s="1247" t="s">
        <v>1652</v>
      </c>
      <c r="C18" s="1005" t="str">
        <f>C6</f>
        <v>估价对象周边道路状况一般，周边有820路;986路;郊87路等多条公交线路及地铁亦庄线经过，路网密集度一般，综合考虑估价对象交通便捷度较好。</v>
      </c>
      <c r="D18" s="2009"/>
      <c r="E18" s="2585"/>
      <c r="F18" s="1247" t="s">
        <v>1667</v>
      </c>
      <c r="G18" s="1005" t="str">
        <f>G7</f>
        <v>该园区内是否有污染型企业，绿化情况，卫生条件，整体环境状况判断</v>
      </c>
    </row>
    <row r="19" spans="1:7" ht="27">
      <c r="A19" s="2588"/>
      <c r="B19" s="1247" t="s">
        <v>1656</v>
      </c>
      <c r="C19" s="2793"/>
      <c r="D19" s="2008"/>
      <c r="E19" s="2585"/>
      <c r="F19" s="1231" t="s">
        <v>2544</v>
      </c>
      <c r="G19" s="1005" t="str">
        <f>G5</f>
        <v>估价对象所在区域公共配套设施齐备情况</v>
      </c>
    </row>
    <row r="20" spans="1:7" ht="40.5">
      <c r="A20" s="2588"/>
      <c r="B20" s="1247" t="s">
        <v>1657</v>
      </c>
      <c r="C20" s="1246" t="str">
        <f>C9</f>
        <v>估价对象周边2公里内有亦庄湿地公园等，综合考虑自然及人文环境一般。</v>
      </c>
      <c r="D20" s="2009"/>
      <c r="E20" s="2585"/>
      <c r="F20" s="1231" t="s">
        <v>2545</v>
      </c>
      <c r="G20" s="1005" t="str">
        <f>G6</f>
        <v>估价对象所在区域基础设施水平</v>
      </c>
    </row>
    <row r="21" spans="1:7" ht="27">
      <c r="A21" s="2588"/>
      <c r="B21" s="1231" t="s">
        <v>2544</v>
      </c>
      <c r="C21" s="1005" t="str">
        <f>C7</f>
        <v>估价对象所在区域公共配套设施齐备情况</v>
      </c>
      <c r="D21" s="2008"/>
      <c r="E21" s="2585"/>
      <c r="F21" s="1247" t="s">
        <v>1658</v>
      </c>
      <c r="G21" s="3083"/>
    </row>
    <row r="22" spans="1:7" ht="27">
      <c r="A22" s="2588"/>
      <c r="B22" s="1231" t="s">
        <v>2545</v>
      </c>
      <c r="C22" s="1005" t="str">
        <f>C8</f>
        <v>估价对象所在区域基础设施水平达七通。</v>
      </c>
      <c r="D22" s="2008"/>
      <c r="E22" s="2585"/>
      <c r="F22" s="1247" t="s">
        <v>1668</v>
      </c>
      <c r="G22" s="2793"/>
    </row>
    <row r="23" spans="1:7" ht="15" thickBot="1">
      <c r="A23" s="2588"/>
      <c r="B23" s="1247" t="s">
        <v>1658</v>
      </c>
      <c r="C23" s="3083"/>
      <c r="E23" s="2586"/>
      <c r="F23" s="1248" t="s">
        <v>1672</v>
      </c>
      <c r="G23" s="3084"/>
    </row>
    <row r="24" spans="1:7" ht="14.25" thickBot="1">
      <c r="A24" s="2589"/>
      <c r="B24" s="1248" t="s">
        <v>1659</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D20" sqref="D20"/>
    </sheetView>
  </sheetViews>
  <sheetFormatPr defaultColWidth="14.625" defaultRowHeight="13.5"/>
  <cols>
    <col min="1" max="1" width="24.375" customWidth="1"/>
  </cols>
  <sheetData>
    <row r="1" spans="1:9">
      <c r="A1" s="3043" t="s">
        <v>2841</v>
      </c>
      <c r="B1" s="3043">
        <f>SUM(B14:B23)</f>
        <v>124921.5</v>
      </c>
      <c r="C1" s="3044"/>
      <c r="D1" s="3044"/>
      <c r="E1" s="3044"/>
      <c r="F1" s="3044"/>
    </row>
    <row r="2" spans="1:9">
      <c r="A2" s="3043" t="s">
        <v>2842</v>
      </c>
      <c r="B2" s="3043">
        <f>SUM(C14:C23)</f>
        <v>33824.92</v>
      </c>
      <c r="C2" s="3044"/>
      <c r="D2" s="3044"/>
      <c r="E2" s="3044"/>
      <c r="F2" s="3044"/>
    </row>
    <row r="3" spans="1:9">
      <c r="A3" s="3043" t="s">
        <v>2843</v>
      </c>
      <c r="B3" s="3045">
        <f>项目基本情况!D3</f>
        <v>43427</v>
      </c>
      <c r="C3" s="3044"/>
      <c r="D3" s="3044"/>
      <c r="E3" s="3044"/>
      <c r="F3" s="3044"/>
    </row>
    <row r="4" spans="1:9" ht="27">
      <c r="A4" s="3043" t="s">
        <v>2844</v>
      </c>
      <c r="B4" s="3043" t="s">
        <v>2845</v>
      </c>
      <c r="C4" s="3043" t="s">
        <v>2846</v>
      </c>
      <c r="D4" s="3043" t="s">
        <v>2847</v>
      </c>
      <c r="E4" s="3044"/>
      <c r="F4" s="3044"/>
    </row>
    <row r="5" spans="1:9">
      <c r="A5" s="3043" t="s">
        <v>2848</v>
      </c>
      <c r="B5" s="3043">
        <f ca="1">SUM(D14:D23)</f>
        <v>150237</v>
      </c>
      <c r="C5" s="3043">
        <f ca="1">ROUND(B5*10000/$B$1,0)</f>
        <v>12027</v>
      </c>
      <c r="D5" s="3043">
        <f ca="1">ROUND(B5*10000/$B$2,0)</f>
        <v>44416</v>
      </c>
      <c r="E5" s="3044"/>
      <c r="F5" s="3044"/>
    </row>
    <row r="6" spans="1:9">
      <c r="A6" s="3043" t="s">
        <v>2849</v>
      </c>
      <c r="B6" s="3043">
        <f ca="1">SUM(G14:G23)</f>
        <v>150237</v>
      </c>
      <c r="C6" s="3043">
        <f t="shared" ref="C6:C8" ca="1" si="0">ROUND(B6*10000/$B$1,0)</f>
        <v>12027</v>
      </c>
      <c r="D6" s="3043">
        <f t="shared" ref="D6:D8" ca="1" si="1">ROUND(B6*10000/$B$2,0)</f>
        <v>44416</v>
      </c>
      <c r="E6" s="3044"/>
      <c r="F6" s="3044"/>
    </row>
    <row r="7" spans="1:9">
      <c r="A7" s="3043" t="s">
        <v>2850</v>
      </c>
      <c r="B7" s="3043">
        <f>SUM(H14:H23)</f>
        <v>0</v>
      </c>
      <c r="C7" s="3043">
        <f t="shared" si="0"/>
        <v>0</v>
      </c>
      <c r="D7" s="3043">
        <f t="shared" si="1"/>
        <v>0</v>
      </c>
      <c r="E7" s="3044"/>
      <c r="F7" s="3044"/>
    </row>
    <row r="8" spans="1:9">
      <c r="A8" s="3043" t="s">
        <v>2851</v>
      </c>
      <c r="B8" s="3043">
        <f>SUM(I14:I23)</f>
        <v>0</v>
      </c>
      <c r="C8" s="3043">
        <f t="shared" si="0"/>
        <v>0</v>
      </c>
      <c r="D8" s="3043">
        <f t="shared" si="1"/>
        <v>0</v>
      </c>
      <c r="E8" s="3044"/>
      <c r="F8" s="3044"/>
    </row>
    <row r="9" spans="1:9">
      <c r="A9" s="3043" t="s">
        <v>2852</v>
      </c>
      <c r="B9" s="3046"/>
      <c r="C9" s="3044"/>
      <c r="D9" s="3044"/>
      <c r="E9" s="3044"/>
      <c r="F9" s="3044"/>
    </row>
    <row r="10" spans="1:9">
      <c r="A10" s="3043" t="s">
        <v>2853</v>
      </c>
      <c r="B10" s="3046"/>
      <c r="C10" s="3044"/>
      <c r="D10" s="3044"/>
      <c r="E10" s="3044"/>
      <c r="F10" s="3044"/>
    </row>
    <row r="11" spans="1:9">
      <c r="A11" s="3043" t="s">
        <v>2870</v>
      </c>
      <c r="B11" s="3046"/>
      <c r="C11" s="3044"/>
      <c r="D11" s="3044"/>
      <c r="E11" s="3044"/>
      <c r="F11" s="3044"/>
    </row>
    <row r="12" spans="1:9">
      <c r="A12" s="3044"/>
      <c r="B12" s="3044"/>
      <c r="C12" s="3044"/>
      <c r="D12" s="3044"/>
      <c r="E12" s="3044"/>
      <c r="F12" s="3044"/>
    </row>
    <row r="13" spans="1:9" ht="27">
      <c r="A13" s="3049" t="s">
        <v>2869</v>
      </c>
      <c r="B13" s="3047" t="s">
        <v>2841</v>
      </c>
      <c r="C13" s="3047" t="s">
        <v>2842</v>
      </c>
      <c r="D13" s="3047" t="s">
        <v>2854</v>
      </c>
      <c r="E13" s="3043" t="s">
        <v>2868</v>
      </c>
      <c r="F13" s="3043" t="s">
        <v>2847</v>
      </c>
      <c r="G13" s="3047" t="s">
        <v>2855</v>
      </c>
      <c r="H13" s="3047" t="s">
        <v>2856</v>
      </c>
      <c r="I13" s="3047" t="s">
        <v>2857</v>
      </c>
    </row>
    <row r="14" spans="1:9">
      <c r="A14" s="3050" t="s">
        <v>2867</v>
      </c>
      <c r="B14" s="3047">
        <f>结果表!L38</f>
        <v>124921.5</v>
      </c>
      <c r="C14" s="3047">
        <f>结果表!K38</f>
        <v>33824.92</v>
      </c>
      <c r="D14" s="3047">
        <f ca="1">结果表!C42</f>
        <v>150237</v>
      </c>
      <c r="E14" s="3047">
        <f ca="1">ROUND(D14*10000/B14,0)</f>
        <v>12027</v>
      </c>
      <c r="F14" s="3047">
        <f ca="1">ROUND(D14*10000/C14,0)</f>
        <v>44416</v>
      </c>
      <c r="G14" s="3047">
        <f ca="1">结果表!C44</f>
        <v>150237</v>
      </c>
      <c r="H14" s="3047" t="str">
        <f>结果表!C45</f>
        <v>——</v>
      </c>
      <c r="I14" s="3047" t="str">
        <f>结果表!C46</f>
        <v>——</v>
      </c>
    </row>
    <row r="15" spans="1:9">
      <c r="A15" s="3050" t="s">
        <v>2858</v>
      </c>
      <c r="B15" s="3051"/>
      <c r="C15" s="3051"/>
      <c r="D15" s="3051"/>
      <c r="E15" s="3047" t="e">
        <f t="shared" ref="E15:E23" si="2">ROUND(D15*10000/B15,0)</f>
        <v>#DIV/0!</v>
      </c>
      <c r="F15" s="3047" t="e">
        <f t="shared" ref="F15:F23" si="3">ROUND(D15*10000/C15,0)</f>
        <v>#DIV/0!</v>
      </c>
      <c r="G15" s="3048"/>
      <c r="H15" s="3048"/>
      <c r="I15" s="3051"/>
    </row>
    <row r="16" spans="1:9">
      <c r="A16" s="3050" t="s">
        <v>2859</v>
      </c>
      <c r="B16" s="3051"/>
      <c r="C16" s="3051"/>
      <c r="D16" s="3051"/>
      <c r="E16" s="3047" t="e">
        <f t="shared" si="2"/>
        <v>#DIV/0!</v>
      </c>
      <c r="F16" s="3047" t="e">
        <f t="shared" si="3"/>
        <v>#DIV/0!</v>
      </c>
      <c r="G16" s="3048"/>
      <c r="H16" s="3048"/>
      <c r="I16" s="3051"/>
    </row>
    <row r="17" spans="1:9">
      <c r="A17" s="3050" t="s">
        <v>2860</v>
      </c>
      <c r="B17" s="3051"/>
      <c r="C17" s="3051"/>
      <c r="D17" s="3051"/>
      <c r="E17" s="3047" t="e">
        <f t="shared" si="2"/>
        <v>#DIV/0!</v>
      </c>
      <c r="F17" s="3047" t="e">
        <f t="shared" si="3"/>
        <v>#DIV/0!</v>
      </c>
      <c r="G17" s="3048"/>
      <c r="H17" s="3048"/>
      <c r="I17" s="3051"/>
    </row>
    <row r="18" spans="1:9">
      <c r="A18" s="3050" t="s">
        <v>2861</v>
      </c>
      <c r="B18" s="3051"/>
      <c r="C18" s="3051"/>
      <c r="D18" s="3051"/>
      <c r="E18" s="3047" t="e">
        <f t="shared" si="2"/>
        <v>#DIV/0!</v>
      </c>
      <c r="F18" s="3047" t="e">
        <f t="shared" si="3"/>
        <v>#DIV/0!</v>
      </c>
      <c r="G18" s="3051"/>
      <c r="H18" s="3051"/>
      <c r="I18" s="3051"/>
    </row>
    <row r="19" spans="1:9">
      <c r="A19" s="3050" t="s">
        <v>2862</v>
      </c>
      <c r="B19" s="3051"/>
      <c r="C19" s="3051"/>
      <c r="D19" s="3051"/>
      <c r="E19" s="3047" t="e">
        <f t="shared" si="2"/>
        <v>#DIV/0!</v>
      </c>
      <c r="F19" s="3047" t="e">
        <f t="shared" si="3"/>
        <v>#DIV/0!</v>
      </c>
      <c r="G19" s="3051"/>
      <c r="H19" s="3051"/>
      <c r="I19" s="3051"/>
    </row>
    <row r="20" spans="1:9">
      <c r="A20" s="3050" t="s">
        <v>2863</v>
      </c>
      <c r="B20" s="3051"/>
      <c r="C20" s="3051"/>
      <c r="D20" s="3051"/>
      <c r="E20" s="3047" t="e">
        <f t="shared" si="2"/>
        <v>#DIV/0!</v>
      </c>
      <c r="F20" s="3047" t="e">
        <f t="shared" si="3"/>
        <v>#DIV/0!</v>
      </c>
      <c r="G20" s="3051"/>
      <c r="H20" s="3051"/>
      <c r="I20" s="3051"/>
    </row>
    <row r="21" spans="1:9">
      <c r="A21" s="3050" t="s">
        <v>2864</v>
      </c>
      <c r="B21" s="3051"/>
      <c r="C21" s="3051"/>
      <c r="D21" s="3051"/>
      <c r="E21" s="3047" t="e">
        <f t="shared" si="2"/>
        <v>#DIV/0!</v>
      </c>
      <c r="F21" s="3047" t="e">
        <f t="shared" si="3"/>
        <v>#DIV/0!</v>
      </c>
      <c r="G21" s="3051"/>
      <c r="H21" s="3051"/>
      <c r="I21" s="3051"/>
    </row>
    <row r="22" spans="1:9">
      <c r="A22" s="3050" t="s">
        <v>2865</v>
      </c>
      <c r="B22" s="3051"/>
      <c r="C22" s="3051"/>
      <c r="D22" s="3051"/>
      <c r="E22" s="3047" t="e">
        <f t="shared" si="2"/>
        <v>#DIV/0!</v>
      </c>
      <c r="F22" s="3047" t="e">
        <f t="shared" si="3"/>
        <v>#DIV/0!</v>
      </c>
      <c r="G22" s="3051"/>
      <c r="H22" s="3051"/>
      <c r="I22" s="3051"/>
    </row>
    <row r="23" spans="1:9">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H34" zoomScaleNormal="100" zoomScaleSheetLayoutView="100" zoomScalePageLayoutView="80" workbookViewId="0">
      <selection activeCell="L54" sqref="L5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c r="E1" s="1805" t="s">
        <v>2055</v>
      </c>
      <c r="F1" s="1807"/>
      <c r="G1" s="311"/>
      <c r="H1" s="311"/>
      <c r="I1" s="311"/>
      <c r="J1" s="2028"/>
      <c r="K1" s="2028"/>
      <c r="L1" s="2028"/>
      <c r="M1" s="2028"/>
      <c r="N1" s="2028"/>
      <c r="O1" s="2028"/>
      <c r="P1" s="2028"/>
      <c r="Q1" s="2028"/>
      <c r="R1" s="2028"/>
      <c r="S1" s="2028"/>
      <c r="T1" s="2028"/>
      <c r="U1" s="2028"/>
      <c r="V1" s="2028"/>
    </row>
    <row r="2" spans="1:22" ht="21.75" customHeight="1" thickBot="1">
      <c r="A2" s="3334" t="str">
        <f>项目基本情况!K2</f>
        <v>北京市通州区台湖镇YZ00-0405-0078、0079、0081地块R2二类居住用地出让国有建设用地使用权</v>
      </c>
      <c r="B2" s="3335"/>
      <c r="C2" s="3336"/>
      <c r="D2" s="3336"/>
      <c r="E2" s="3336"/>
      <c r="F2" s="3336"/>
      <c r="G2" s="3335"/>
      <c r="H2" s="3335"/>
      <c r="I2" s="3337"/>
      <c r="J2" s="2029"/>
      <c r="K2" s="2028"/>
      <c r="L2" s="2028"/>
      <c r="M2" s="2028"/>
      <c r="N2" s="2028"/>
      <c r="O2" s="2028"/>
      <c r="P2" s="2028"/>
      <c r="Q2" s="2028"/>
      <c r="R2" s="2028"/>
      <c r="S2" s="2028"/>
      <c r="T2" s="2028"/>
      <c r="U2" s="2028"/>
      <c r="V2" s="2028"/>
    </row>
    <row r="3" spans="1:22" ht="14.25">
      <c r="A3" s="3345" t="s">
        <v>297</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25">
      <c r="A4" s="258" t="s">
        <v>298</v>
      </c>
      <c r="B4" s="259" t="s">
        <v>299</v>
      </c>
      <c r="C4" s="260" t="s">
        <v>3132</v>
      </c>
      <c r="D4" s="260" t="s">
        <v>3133</v>
      </c>
      <c r="E4" s="3309" t="s">
        <v>300</v>
      </c>
      <c r="F4" s="3351"/>
      <c r="G4" s="3351"/>
      <c r="H4" s="3351"/>
      <c r="I4" s="3310"/>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8" t="s">
        <v>301</v>
      </c>
      <c r="B5" s="3339">
        <v>25</v>
      </c>
      <c r="C5" s="3347"/>
      <c r="D5" s="3350"/>
      <c r="E5" s="261" t="s">
        <v>302</v>
      </c>
      <c r="F5" s="262"/>
      <c r="G5" s="262"/>
      <c r="H5" s="262"/>
      <c r="I5" s="263"/>
      <c r="J5" s="2029"/>
      <c r="K5" s="2028"/>
      <c r="L5" s="2028"/>
      <c r="M5" s="2028"/>
      <c r="N5" s="2028"/>
      <c r="O5" s="2028"/>
      <c r="P5" s="2028"/>
      <c r="Q5" s="2028"/>
      <c r="R5" s="2028"/>
      <c r="S5" s="2028"/>
      <c r="T5" s="2028"/>
      <c r="U5" s="2028"/>
      <c r="V5" s="2028"/>
    </row>
    <row r="6" spans="1:22" ht="14.25">
      <c r="A6" s="3338"/>
      <c r="B6" s="3339"/>
      <c r="C6" s="3348"/>
      <c r="D6" s="3350"/>
      <c r="E6" s="261" t="s">
        <v>303</v>
      </c>
      <c r="F6" s="262"/>
      <c r="G6" s="262"/>
      <c r="H6" s="262"/>
      <c r="I6" s="263"/>
      <c r="J6" s="2029"/>
      <c r="K6" s="2028"/>
      <c r="L6" s="2028"/>
      <c r="M6" s="2028"/>
      <c r="N6" s="2028"/>
      <c r="O6" s="2028"/>
      <c r="P6" s="2028"/>
      <c r="Q6" s="2028"/>
      <c r="R6" s="2028"/>
      <c r="S6" s="2028"/>
      <c r="T6" s="2028"/>
      <c r="U6" s="2028"/>
      <c r="V6" s="2028"/>
    </row>
    <row r="7" spans="1:22" ht="14.25">
      <c r="A7" s="3338"/>
      <c r="B7" s="3339"/>
      <c r="C7" s="3349"/>
      <c r="D7" s="3350"/>
      <c r="E7" s="261" t="s">
        <v>304</v>
      </c>
      <c r="F7" s="262"/>
      <c r="G7" s="262"/>
      <c r="H7" s="262"/>
      <c r="I7" s="263"/>
      <c r="J7" s="2029"/>
      <c r="K7" s="2028"/>
      <c r="L7" s="2028"/>
      <c r="M7" s="2028"/>
      <c r="N7" s="2028"/>
      <c r="O7" s="2028"/>
      <c r="P7" s="2028"/>
      <c r="Q7" s="2028"/>
      <c r="R7" s="2028"/>
      <c r="S7" s="2028"/>
      <c r="T7" s="2028"/>
      <c r="U7" s="2028"/>
      <c r="V7" s="2028"/>
    </row>
    <row r="8" spans="1:22" ht="14.25">
      <c r="A8" s="3338" t="s">
        <v>305</v>
      </c>
      <c r="B8" s="3339">
        <v>15</v>
      </c>
      <c r="C8" s="3347"/>
      <c r="D8" s="3350"/>
      <c r="E8" s="261" t="s">
        <v>306</v>
      </c>
      <c r="F8" s="262"/>
      <c r="G8" s="262"/>
      <c r="H8" s="262"/>
      <c r="I8" s="263"/>
      <c r="J8" s="2029"/>
      <c r="K8" s="2028"/>
      <c r="L8" s="2028"/>
      <c r="M8" s="2028"/>
      <c r="N8" s="2028"/>
      <c r="O8" s="2028"/>
      <c r="P8" s="2028"/>
      <c r="Q8" s="2028"/>
      <c r="R8" s="2028"/>
      <c r="S8" s="2028"/>
      <c r="T8" s="2028"/>
      <c r="U8" s="2028"/>
      <c r="V8" s="2028"/>
    </row>
    <row r="9" spans="1:22" ht="14.25">
      <c r="A9" s="3338"/>
      <c r="B9" s="3339"/>
      <c r="C9" s="3349"/>
      <c r="D9" s="3350"/>
      <c r="E9" s="261" t="s">
        <v>307</v>
      </c>
      <c r="F9" s="262"/>
      <c r="G9" s="262"/>
      <c r="H9" s="262"/>
      <c r="I9" s="263"/>
      <c r="J9" s="2029"/>
      <c r="K9" s="2028"/>
      <c r="L9" s="2028"/>
      <c r="M9" s="2028"/>
      <c r="N9" s="2028"/>
      <c r="O9" s="2028"/>
      <c r="P9" s="2028"/>
      <c r="Q9" s="2028"/>
      <c r="R9" s="2028"/>
      <c r="S9" s="2028"/>
      <c r="T9" s="2028"/>
      <c r="U9" s="2028"/>
      <c r="V9" s="2028"/>
    </row>
    <row r="10" spans="1:22" ht="14.25">
      <c r="A10" s="3338" t="s">
        <v>308</v>
      </c>
      <c r="B10" s="3339">
        <v>15</v>
      </c>
      <c r="C10" s="3347"/>
      <c r="D10" s="3350"/>
      <c r="E10" s="261" t="s">
        <v>309</v>
      </c>
      <c r="F10" s="262"/>
      <c r="G10" s="262"/>
      <c r="H10" s="262"/>
      <c r="I10" s="263"/>
      <c r="J10" s="2029"/>
      <c r="K10" s="2028"/>
      <c r="L10" s="2028"/>
      <c r="M10" s="2028"/>
      <c r="N10" s="2028"/>
      <c r="O10" s="2028"/>
      <c r="P10" s="2028"/>
      <c r="Q10" s="2028"/>
      <c r="R10" s="2028"/>
      <c r="S10" s="2028"/>
      <c r="T10" s="2028"/>
      <c r="U10" s="2028"/>
      <c r="V10" s="2028"/>
    </row>
    <row r="11" spans="1:22" ht="14.25">
      <c r="A11" s="3338"/>
      <c r="B11" s="3339"/>
      <c r="C11" s="3349"/>
      <c r="D11" s="3350"/>
      <c r="E11" s="261" t="s">
        <v>310</v>
      </c>
      <c r="F11" s="262"/>
      <c r="G11" s="262"/>
      <c r="H11" s="262"/>
      <c r="I11" s="263"/>
      <c r="J11" s="2029"/>
      <c r="K11" s="2028"/>
      <c r="L11" s="2028"/>
      <c r="M11" s="2028"/>
      <c r="N11" s="2028"/>
      <c r="O11" s="2028"/>
      <c r="P11" s="2028"/>
      <c r="Q11" s="2028"/>
      <c r="R11" s="2028"/>
      <c r="S11" s="2028"/>
      <c r="T11" s="2028"/>
      <c r="U11" s="2028"/>
      <c r="V11" s="2028"/>
    </row>
    <row r="12" spans="1:22" ht="14.25">
      <c r="A12" s="3338" t="s">
        <v>311</v>
      </c>
      <c r="B12" s="3339">
        <v>15</v>
      </c>
      <c r="C12" s="3347"/>
      <c r="D12" s="3350"/>
      <c r="E12" s="261" t="s">
        <v>312</v>
      </c>
      <c r="F12" s="262"/>
      <c r="G12" s="262"/>
      <c r="H12" s="262"/>
      <c r="I12" s="263"/>
      <c r="J12" s="2029"/>
      <c r="K12" s="2028"/>
      <c r="L12" s="2028"/>
      <c r="M12" s="2028"/>
      <c r="N12" s="2028"/>
      <c r="O12" s="2028"/>
      <c r="P12" s="2028"/>
      <c r="Q12" s="2028"/>
      <c r="R12" s="2028"/>
      <c r="S12" s="2028"/>
      <c r="T12" s="2028"/>
      <c r="U12" s="2028"/>
      <c r="V12" s="2028"/>
    </row>
    <row r="13" spans="1:22" ht="14.25">
      <c r="A13" s="3338"/>
      <c r="B13" s="3339"/>
      <c r="C13" s="3349"/>
      <c r="D13" s="3350"/>
      <c r="E13" s="261" t="s">
        <v>313</v>
      </c>
      <c r="F13" s="262"/>
      <c r="G13" s="262"/>
      <c r="H13" s="262"/>
      <c r="I13" s="263"/>
      <c r="J13" s="2029"/>
      <c r="K13" s="2028"/>
      <c r="L13" s="2028"/>
      <c r="M13" s="2028"/>
      <c r="N13" s="2028"/>
      <c r="O13" s="2028"/>
      <c r="P13" s="2028"/>
      <c r="Q13" s="2028"/>
      <c r="R13" s="2028"/>
      <c r="S13" s="2028"/>
      <c r="T13" s="2028"/>
      <c r="U13" s="2028"/>
      <c r="V13" s="2028"/>
    </row>
    <row r="14" spans="1:22" ht="14.25">
      <c r="A14" s="3338" t="s">
        <v>314</v>
      </c>
      <c r="B14" s="3339">
        <v>30</v>
      </c>
      <c r="C14" s="3347">
        <v>5</v>
      </c>
      <c r="D14" s="3350">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38"/>
      <c r="B15" s="3339"/>
      <c r="C15" s="3348"/>
      <c r="D15" s="3350"/>
      <c r="E15" s="261" t="s">
        <v>316</v>
      </c>
      <c r="F15" s="262"/>
      <c r="G15" s="262"/>
      <c r="H15" s="262"/>
      <c r="I15" s="263"/>
      <c r="J15" s="2029"/>
      <c r="K15" s="2028"/>
      <c r="L15" s="2028"/>
      <c r="M15" s="2028"/>
      <c r="N15" s="2028"/>
      <c r="O15" s="2028"/>
      <c r="P15" s="2028"/>
      <c r="Q15" s="2028"/>
      <c r="R15" s="2028"/>
      <c r="S15" s="2028"/>
      <c r="T15" s="2028"/>
      <c r="U15" s="2028"/>
      <c r="V15" s="2028"/>
    </row>
    <row r="16" spans="1:22" ht="14.25">
      <c r="A16" s="3338"/>
      <c r="B16" s="3339"/>
      <c r="C16" s="3349"/>
      <c r="D16" s="3350"/>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143285</v>
      </c>
      <c r="D19" s="271">
        <f ca="1">SUMIF(INDIRECT("'"&amp;D4&amp;"'"&amp;"!A:A"),结果表!B19,INDIRECT("'"&amp;D4&amp;"'"&amp;"!B:B"))</f>
        <v>157188</v>
      </c>
      <c r="E19" s="268" t="s">
        <v>322</v>
      </c>
      <c r="F19" s="269" t="s">
        <v>321</v>
      </c>
      <c r="G19" s="272">
        <f ca="1">ROUND(C19*$C$18+D19*$D$18,0)</f>
        <v>150237</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11470</v>
      </c>
      <c r="D20" s="277">
        <f ca="1">SUMIF(INDIRECT("'"&amp;D4&amp;"'"&amp;"!A:A"),结果表!B20,INDIRECT("'"&amp;D4&amp;"'"&amp;"!B:B"))</f>
        <v>12583</v>
      </c>
      <c r="E20" s="274"/>
      <c r="F20" s="275" t="s">
        <v>324</v>
      </c>
      <c r="G20" s="278">
        <f ca="1">ROUND(C20*$C$18+D20*$D$18,0)</f>
        <v>12027</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42361</v>
      </c>
      <c r="D21" s="151">
        <f ca="1">SUMIF(INDIRECT("'"&amp;D4&amp;"'"&amp;"!A:A"),结果表!B21,INDIRECT("'"&amp;D4&amp;"'"&amp;"!B:B"))</f>
        <v>46471</v>
      </c>
      <c r="E21" s="274"/>
      <c r="F21" s="280" t="s">
        <v>326</v>
      </c>
      <c r="G21" s="282">
        <f ca="1">ROUND(C21*$C$18+D21*$D$18,0)</f>
        <v>44416</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9.7030393970059636E-2</v>
      </c>
      <c r="E22" s="284"/>
      <c r="F22" s="285"/>
      <c r="G22" s="286">
        <f ca="1">ROUND(G19/('数据-汇总表'!D3/666.67),0)</f>
        <v>2961</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1"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3"/>
      <c r="B25" s="1321" t="s">
        <v>330</v>
      </c>
      <c r="C25" s="290">
        <f>IF(B30=0,0,C30)</f>
        <v>0</v>
      </c>
      <c r="D25" s="291"/>
      <c r="E25" s="311"/>
      <c r="F25" s="311"/>
      <c r="G25" s="311"/>
      <c r="H25" s="311"/>
      <c r="I25" s="311"/>
      <c r="J25" s="2028"/>
      <c r="K25" s="1255" t="str">
        <f ca="1">项目基本情况!B16&amp;"国有建设用地使用权价格："&amp;O38&amp;"万元"</f>
        <v>出让国有建设用地使用权价格：150237万元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大写金额：人民币壹拾伍亿零贰佰叁拾柒万元整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单位面积地价：44416元/平方米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楼面地价：12027元/平方米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抵押价格：150237万元</v>
      </c>
      <c r="L29" s="1252"/>
      <c r="M29" s="1252"/>
      <c r="N29" s="1252"/>
      <c r="O29" s="1251"/>
      <c r="P29" s="2028"/>
      <c r="Q29" s="257">
        <f>15272.08+10911.58+13015.79</f>
        <v>39199.449999999997</v>
      </c>
      <c r="V29" s="2028"/>
    </row>
    <row r="30" spans="1:26" ht="18.75" thickBot="1">
      <c r="A30" s="3126" t="s">
        <v>335</v>
      </c>
      <c r="B30" s="309"/>
      <c r="C30" s="309"/>
      <c r="D30" s="310"/>
      <c r="E30" s="3127" t="s">
        <v>2960</v>
      </c>
      <c r="F30" s="311"/>
      <c r="G30" s="311"/>
      <c r="H30" s="311"/>
      <c r="I30" s="311"/>
      <c r="J30" s="2028"/>
      <c r="K30" s="1258" t="str">
        <f ca="1">IF(K29="——","——","大写金额：人民币"&amp;NUMBERSTRING(INT(O39*10000),2)&amp;"元整")</f>
        <v>大写金额：人民币壹拾伍亿零贰佰叁拾柒万元整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1685</v>
      </c>
      <c r="C32" s="1382">
        <f ca="1">G19-C24</f>
        <v>150237</v>
      </c>
      <c r="D32" s="1383" t="s">
        <v>1686</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1687</v>
      </c>
      <c r="C33" s="264">
        <f ca="1">ROUND(C32*10000/'数据-汇总表'!E3,0)</f>
        <v>12027</v>
      </c>
      <c r="D33" s="1385" t="s">
        <v>1688</v>
      </c>
      <c r="E33" s="3311"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1689</v>
      </c>
      <c r="C34" s="264">
        <f ca="1">ROUND(C32*10000/'数据-汇总表'!D3,0)</f>
        <v>44416</v>
      </c>
      <c r="D34" s="1387" t="s">
        <v>1688</v>
      </c>
      <c r="E34" s="3312"/>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2961</v>
      </c>
      <c r="D35" s="1390" t="s">
        <v>1690</v>
      </c>
      <c r="E35" s="3313"/>
      <c r="F35" s="301" t="s">
        <v>341</v>
      </c>
      <c r="G35" s="982"/>
      <c r="H35" s="981" t="s">
        <v>342</v>
      </c>
      <c r="I35" s="311"/>
      <c r="J35" s="2028"/>
      <c r="K35" s="3317" t="s">
        <v>346</v>
      </c>
      <c r="L35" s="3317" t="s">
        <v>347</v>
      </c>
      <c r="M35" s="1264" t="s">
        <v>348</v>
      </c>
      <c r="N35" s="3317" t="s">
        <v>349</v>
      </c>
      <c r="O35" s="3317" t="s">
        <v>350</v>
      </c>
      <c r="P35" s="2028"/>
      <c r="V35" s="2028"/>
    </row>
    <row r="36" spans="1:26" ht="16.5" customHeight="1" thickBot="1">
      <c r="A36" s="303" t="s">
        <v>343</v>
      </c>
      <c r="B36" s="304">
        <f>'数据-汇总表'!F20</f>
        <v>0</v>
      </c>
      <c r="C36" s="305">
        <v>7655</v>
      </c>
      <c r="D36" s="305">
        <v>1.0305</v>
      </c>
      <c r="E36" s="306">
        <f>ROUND(B36*C36*D36/10000,0)</f>
        <v>0</v>
      </c>
      <c r="F36" s="311"/>
      <c r="G36" s="311"/>
      <c r="H36" s="311"/>
      <c r="I36" s="311"/>
      <c r="J36" s="2030"/>
      <c r="K36" s="3318"/>
      <c r="L36" s="3318"/>
      <c r="M36" s="1266" t="s">
        <v>351</v>
      </c>
      <c r="N36" s="3318"/>
      <c r="O36" s="3318"/>
      <c r="P36" s="2028"/>
      <c r="V36" s="2028"/>
    </row>
    <row r="37" spans="1:26" ht="16.5" customHeight="1" thickBot="1">
      <c r="A37" s="1260" t="s">
        <v>344</v>
      </c>
      <c r="B37" s="307">
        <f>'数据-汇总表'!G21</f>
        <v>5719</v>
      </c>
      <c r="C37" s="294">
        <f>16021*0.2*0.25</f>
        <v>801.05000000000007</v>
      </c>
      <c r="D37" s="305">
        <v>1.0305</v>
      </c>
      <c r="E37" s="306">
        <f t="shared" ref="E37:E38" si="0">ROUND(B37*C37*D37/10000,0)</f>
        <v>472</v>
      </c>
      <c r="F37" s="311"/>
      <c r="G37" s="311"/>
      <c r="H37" s="311"/>
      <c r="I37" s="311"/>
      <c r="J37" s="2030"/>
      <c r="K37" s="3319"/>
      <c r="L37" s="3319"/>
      <c r="M37" s="1267"/>
      <c r="N37" s="3319"/>
      <c r="O37" s="3319"/>
      <c r="P37" s="2028"/>
      <c r="V37" s="2028"/>
    </row>
    <row r="38" spans="1:26" ht="16.5" customHeight="1" thickBot="1">
      <c r="A38" s="1260" t="s">
        <v>345</v>
      </c>
      <c r="B38" s="307">
        <f>'数据-汇总表'!G22</f>
        <v>23909.5</v>
      </c>
      <c r="C38" s="294">
        <f>16021*0.15*0.25</f>
        <v>600.78750000000002</v>
      </c>
      <c r="D38" s="305">
        <v>1.0305</v>
      </c>
      <c r="E38" s="306">
        <f t="shared" si="0"/>
        <v>1480</v>
      </c>
      <c r="F38" s="311"/>
      <c r="G38" s="311"/>
      <c r="H38" s="311"/>
      <c r="I38" s="311"/>
      <c r="J38" s="2030"/>
      <c r="K38" s="1268">
        <f>'数据-汇总表'!D3</f>
        <v>33824.92</v>
      </c>
      <c r="L38" s="1269">
        <f>'数据-汇总表'!E3</f>
        <v>124921.5</v>
      </c>
      <c r="M38" s="1269">
        <f ca="1">C34</f>
        <v>44416</v>
      </c>
      <c r="N38" s="1269">
        <f ca="1">C33</f>
        <v>12027</v>
      </c>
      <c r="O38" s="1270">
        <f ca="1">C32</f>
        <v>150237</v>
      </c>
      <c r="P38" s="2028"/>
      <c r="V38" s="2028"/>
    </row>
    <row r="39" spans="1:26" ht="16.5" customHeight="1" thickBot="1">
      <c r="A39" s="1265"/>
      <c r="B39" s="308"/>
      <c r="C39" s="309"/>
      <c r="D39" s="294"/>
      <c r="E39" s="295"/>
      <c r="F39" s="311"/>
      <c r="G39" s="311"/>
      <c r="H39" s="311"/>
      <c r="I39" s="311"/>
      <c r="J39" s="2030"/>
      <c r="K39" s="3294" t="str">
        <f>MID(A44,3,LEN(A44)-2)</f>
        <v>抵押价格</v>
      </c>
      <c r="L39" s="3295"/>
      <c r="M39" s="3295"/>
      <c r="N39" s="3296"/>
      <c r="O39" s="1392">
        <f ca="1">C44</f>
        <v>150237</v>
      </c>
      <c r="P39" s="2028"/>
      <c r="V39" s="2028"/>
    </row>
    <row r="40" spans="1:26" ht="19.5" thickBot="1">
      <c r="A40" s="104" t="s">
        <v>869</v>
      </c>
      <c r="B40" s="311"/>
      <c r="C40" s="311"/>
      <c r="D40" s="311"/>
      <c r="E40" s="311"/>
      <c r="F40" s="311"/>
      <c r="G40" s="311"/>
      <c r="H40" s="311"/>
      <c r="I40" s="311"/>
      <c r="J40" s="2030"/>
      <c r="K40" s="3294" t="str">
        <f t="shared" ref="K40:K41" si="1">MID(A45,3,LEN(A45)-2)</f>
        <v/>
      </c>
      <c r="L40" s="3295"/>
      <c r="M40" s="3295"/>
      <c r="N40" s="3296"/>
      <c r="O40" s="1392" t="str">
        <f>C45</f>
        <v>——</v>
      </c>
      <c r="P40" s="2028"/>
      <c r="V40" s="2028"/>
    </row>
    <row r="41" spans="1:26" ht="16.5" thickBot="1">
      <c r="A41" s="312" t="s">
        <v>352</v>
      </c>
      <c r="B41" s="313"/>
      <c r="C41" s="314" t="s">
        <v>353</v>
      </c>
      <c r="D41" s="315" t="s">
        <v>354</v>
      </c>
      <c r="E41" s="315" t="s">
        <v>355</v>
      </c>
      <c r="F41" s="316" t="s">
        <v>356</v>
      </c>
      <c r="G41" s="311"/>
      <c r="H41" s="311"/>
      <c r="I41" s="311"/>
      <c r="J41" s="2030"/>
      <c r="K41" s="3294" t="str">
        <f t="shared" si="1"/>
        <v/>
      </c>
      <c r="L41" s="3295"/>
      <c r="M41" s="3295"/>
      <c r="N41" s="3296"/>
      <c r="O41" s="1392" t="str">
        <f>C46</f>
        <v>——</v>
      </c>
      <c r="P41" s="2028"/>
      <c r="V41" s="2028"/>
    </row>
    <row r="42" spans="1:26" ht="29.25">
      <c r="A42" s="3354" t="s">
        <v>2065</v>
      </c>
      <c r="B42" s="3355"/>
      <c r="C42" s="264">
        <f ca="1">C32</f>
        <v>150237</v>
      </c>
      <c r="D42" s="317">
        <f ca="1">C33</f>
        <v>12027</v>
      </c>
      <c r="E42" s="317">
        <f ca="1">C34</f>
        <v>44416</v>
      </c>
      <c r="F42" s="318">
        <f ca="1">C35</f>
        <v>2961</v>
      </c>
      <c r="G42" s="311"/>
      <c r="H42" s="311"/>
      <c r="I42" s="319"/>
      <c r="J42" s="2030"/>
      <c r="K42" s="1271" t="s">
        <v>357</v>
      </c>
      <c r="L42" s="2047" t="s">
        <v>358</v>
      </c>
      <c r="M42" s="1272" t="s">
        <v>359</v>
      </c>
      <c r="N42" s="2048" t="s">
        <v>360</v>
      </c>
      <c r="O42" s="2049" t="s">
        <v>361</v>
      </c>
      <c r="P42" s="2028"/>
      <c r="V42" s="2028"/>
    </row>
    <row r="43" spans="1:26" ht="30">
      <c r="A43" s="3364" t="s">
        <v>2727</v>
      </c>
      <c r="B43" s="3365"/>
      <c r="C43" s="264">
        <f>IF(H33="正常操作",G33+G34+G35,G34+G35)</f>
        <v>0</v>
      </c>
      <c r="D43" s="317" t="s">
        <v>43</v>
      </c>
      <c r="E43" s="317" t="s">
        <v>44</v>
      </c>
      <c r="F43" s="318" t="s">
        <v>44</v>
      </c>
      <c r="G43" s="2866" t="s">
        <v>948</v>
      </c>
      <c r="H43" s="311"/>
      <c r="I43" s="319"/>
      <c r="J43" s="2030"/>
      <c r="K43" s="1273" t="str">
        <f>C4</f>
        <v>剩余法-待开发</v>
      </c>
      <c r="L43" s="1274">
        <f ca="1">IF(L42="估价结果/万元",C19,C20)</f>
        <v>143285</v>
      </c>
      <c r="M43" s="1275">
        <f>C18</f>
        <v>0.5</v>
      </c>
      <c r="N43" s="1276">
        <f ca="1">IF(N42="测算结果/万元",G19,G20)</f>
        <v>150237</v>
      </c>
      <c r="O43" s="1277">
        <f ca="1">IF(O42="最终结果/万元",C32,C33)</f>
        <v>150237</v>
      </c>
      <c r="P43" s="2028"/>
      <c r="V43" s="2028"/>
    </row>
    <row r="44" spans="1:26" ht="30.75" thickBot="1">
      <c r="A44" s="3354" t="str">
        <f>IF(OR(项目基本情况!E8="抵押价格",项目基本情况!E8="已注销及未注销"),"3.抵押价格","——")</f>
        <v>3.抵押价格</v>
      </c>
      <c r="B44" s="3355"/>
      <c r="C44" s="264">
        <f ca="1">IF(A44="——","——",C42-C43)</f>
        <v>150237</v>
      </c>
      <c r="D44" s="317">
        <f ca="1">ROUND(C44*10000/'数据-汇总表'!E3,0)</f>
        <v>12027</v>
      </c>
      <c r="E44" s="317">
        <f ca="1">ROUND(C44*10000/'数据-汇总表'!D3,0)</f>
        <v>44416</v>
      </c>
      <c r="F44" s="318">
        <f ca="1">ROUND(C44/('数据-汇总表'!D3/666.67),0)</f>
        <v>2961</v>
      </c>
      <c r="G44" s="311"/>
      <c r="H44" s="311"/>
      <c r="I44" s="319"/>
      <c r="J44" s="2030"/>
      <c r="K44" s="1278" t="str">
        <f>D4</f>
        <v>比较法-住宅、综合</v>
      </c>
      <c r="L44" s="1279">
        <f ca="1">IF(L42="估价结果/万元",D19,D20)</f>
        <v>157188</v>
      </c>
      <c r="M44" s="1280">
        <f>D18</f>
        <v>0.5</v>
      </c>
      <c r="N44" s="1281"/>
      <c r="O44" s="1282"/>
      <c r="P44" s="2028"/>
      <c r="V44" s="2028"/>
    </row>
    <row r="45" spans="1:26" ht="15">
      <c r="A45" s="3359" t="str">
        <f>IF(项目基本情况!E8="已注销及未注销","4.抵押担保权已注销时的抵押价格",IF(项目基本情况!E8="已注销","3.抵押担保权已注销时的抵押价格","——"))</f>
        <v>——</v>
      </c>
      <c r="B45" s="336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362</v>
      </c>
      <c r="B47" s="1283"/>
      <c r="C47" s="322" t="s">
        <v>363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364</v>
      </c>
      <c r="G53" s="337"/>
      <c r="H53" s="337"/>
      <c r="I53" s="338" t="s">
        <v>365</v>
      </c>
      <c r="J53" s="2031"/>
      <c r="K53" s="2028"/>
      <c r="L53" s="2028"/>
      <c r="M53" s="2028"/>
      <c r="N53" s="2028"/>
      <c r="O53" s="2028"/>
      <c r="P53" s="2028"/>
      <c r="Q53" s="2028"/>
      <c r="R53" s="2028"/>
      <c r="S53" s="2028"/>
      <c r="T53" s="2028"/>
      <c r="U53" s="2028"/>
      <c r="V53" s="2028"/>
    </row>
    <row r="54" spans="1:22" ht="12.75">
      <c r="A54" s="257"/>
      <c r="B54" s="339" t="s">
        <v>366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367</v>
      </c>
      <c r="J56" s="2031"/>
      <c r="K56" s="2028"/>
      <c r="L56" s="2028"/>
      <c r="M56" s="2028"/>
      <c r="N56" s="2028"/>
      <c r="O56" s="2028"/>
      <c r="P56" s="2028"/>
      <c r="Q56" s="2028"/>
      <c r="R56" s="2028"/>
      <c r="S56" s="2028"/>
      <c r="T56" s="2028"/>
      <c r="U56" s="2028"/>
      <c r="V56" s="2028"/>
    </row>
    <row r="57" spans="1:22" ht="12.75">
      <c r="A57" s="257"/>
      <c r="B57" s="339" t="s">
        <v>368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369</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2" t="s">
        <v>370</v>
      </c>
      <c r="B63" s="3323"/>
      <c r="C63" s="3324"/>
      <c r="D63" s="341">
        <f ca="1">ROUND(C42*F63,0)</f>
        <v>90142</v>
      </c>
      <c r="E63" s="302" t="s">
        <v>371</v>
      </c>
      <c r="F63" s="342">
        <v>0.6</v>
      </c>
      <c r="G63" s="343" t="s">
        <v>372</v>
      </c>
      <c r="H63" s="311"/>
      <c r="I63" s="311"/>
      <c r="J63" s="2028"/>
      <c r="K63" s="2028"/>
      <c r="L63" s="2028"/>
      <c r="M63" s="2028"/>
      <c r="N63" s="2028"/>
      <c r="O63" s="2028"/>
      <c r="P63" s="311"/>
      <c r="Q63" s="2028"/>
      <c r="R63" s="2028"/>
      <c r="S63" s="2028"/>
      <c r="T63" s="2028"/>
      <c r="U63" s="2028"/>
      <c r="V63" s="2028"/>
    </row>
    <row r="64" spans="1:22" ht="14.25" customHeight="1">
      <c r="A64" s="3361" t="s">
        <v>374</v>
      </c>
      <c r="B64" s="3362"/>
      <c r="C64" s="3362"/>
      <c r="D64" s="3362"/>
      <c r="E64" s="3362"/>
      <c r="F64" s="3362"/>
      <c r="G64" s="3363"/>
      <c r="H64" s="1288"/>
      <c r="I64" s="948"/>
      <c r="J64" s="1990"/>
      <c r="K64" s="1561" t="s">
        <v>373</v>
      </c>
      <c r="L64" s="11"/>
      <c r="M64" s="11"/>
      <c r="N64" s="11"/>
      <c r="O64" s="11"/>
      <c r="P64" s="311"/>
      <c r="Q64" s="2028"/>
      <c r="R64" s="2028"/>
      <c r="S64" s="2028"/>
      <c r="T64" s="2028"/>
      <c r="U64" s="2028"/>
      <c r="V64" s="2028"/>
    </row>
    <row r="65" spans="1:22" ht="12" customHeight="1">
      <c r="A65" s="344" t="s">
        <v>376</v>
      </c>
      <c r="B65" s="345"/>
      <c r="C65" s="346"/>
      <c r="D65" s="347" t="s">
        <v>377</v>
      </c>
      <c r="E65" s="53" t="s">
        <v>378</v>
      </c>
      <c r="F65" s="348" t="s">
        <v>379</v>
      </c>
      <c r="G65" s="349" t="s">
        <v>380</v>
      </c>
      <c r="H65" s="1288"/>
      <c r="I65" s="948"/>
      <c r="J65" s="1990"/>
      <c r="K65" s="1289"/>
      <c r="L65" s="1290"/>
      <c r="M65" s="1290"/>
      <c r="N65" s="1322" t="s">
        <v>375</v>
      </c>
      <c r="O65" s="1323"/>
      <c r="P65" s="1324"/>
      <c r="Q65" s="2028"/>
      <c r="R65" s="2028"/>
      <c r="S65" s="2028"/>
      <c r="T65" s="2028"/>
      <c r="U65" s="2028"/>
      <c r="V65" s="2028"/>
    </row>
    <row r="66" spans="1:22" ht="25.5">
      <c r="A66" s="3358" t="s">
        <v>382</v>
      </c>
      <c r="B66" s="3329"/>
      <c r="C66" s="3329"/>
      <c r="D66" s="261">
        <f ca="1">IF(H66="情况1",0,IF(H66="情况2",D70,IF(H66="情况3",D71,IF(H66="情况4",D72))))</f>
        <v>4722</v>
      </c>
      <c r="E66" s="993" t="str">
        <f>IF(H66="情况4","(销售额-原购置价)×税（费）率","销售额×税（费）率")</f>
        <v>销售额×税（费）率</v>
      </c>
      <c r="F66" s="350">
        <f>IF(H66="情况1","免征",'数据-取费表'!B41)</f>
        <v>5.5000000000000007E-2</v>
      </c>
      <c r="G66" s="351" t="s">
        <v>383</v>
      </c>
      <c r="H66" s="191" t="s">
        <v>384</v>
      </c>
      <c r="I66" s="1288"/>
      <c r="J66" s="2034"/>
      <c r="K66" s="1291">
        <v>1</v>
      </c>
      <c r="L66" s="3298" t="s">
        <v>381</v>
      </c>
      <c r="M66" s="3299"/>
      <c r="N66" s="2458"/>
      <c r="O66" s="2459"/>
      <c r="P66" s="2460"/>
      <c r="Q66" s="2028"/>
      <c r="R66" s="2028"/>
      <c r="S66" s="2028"/>
      <c r="T66" s="2028"/>
      <c r="U66" s="2028"/>
      <c r="V66" s="2028"/>
    </row>
    <row r="67" spans="1:22" ht="25.5" customHeight="1">
      <c r="A67" s="352" t="s">
        <v>386</v>
      </c>
      <c r="B67" s="3341" t="s">
        <v>387</v>
      </c>
      <c r="C67" s="3341"/>
      <c r="D67" s="353">
        <v>0</v>
      </c>
      <c r="E67" s="41" t="s">
        <v>388</v>
      </c>
      <c r="F67" s="62" t="s">
        <v>21</v>
      </c>
      <c r="G67" s="3325"/>
      <c r="H67" s="311"/>
      <c r="I67" s="1292"/>
      <c r="J67" s="2035"/>
      <c r="K67" s="1976">
        <v>2</v>
      </c>
      <c r="L67" s="3297" t="s">
        <v>385</v>
      </c>
      <c r="M67" s="3297"/>
      <c r="N67" s="1325">
        <f>'数据-取费表'!B2</f>
        <v>43427</v>
      </c>
      <c r="O67" s="1325"/>
      <c r="P67" s="1325"/>
      <c r="Q67" s="2028"/>
      <c r="R67" s="2028"/>
      <c r="S67" s="2028"/>
      <c r="T67" s="2028"/>
      <c r="U67" s="2028"/>
      <c r="V67" s="2028"/>
    </row>
    <row r="68" spans="1:22" ht="25.5" customHeight="1">
      <c r="A68" s="354"/>
      <c r="B68" s="3341" t="s">
        <v>390</v>
      </c>
      <c r="C68" s="3341"/>
      <c r="D68" s="355"/>
      <c r="E68" s="77"/>
      <c r="F68" s="356"/>
      <c r="G68" s="3326"/>
      <c r="H68" s="311"/>
      <c r="I68" s="1292"/>
      <c r="J68" s="2035"/>
      <c r="K68" s="1976">
        <v>3</v>
      </c>
      <c r="L68" s="3297" t="s">
        <v>389</v>
      </c>
      <c r="M68" s="3297"/>
      <c r="N68" s="1293">
        <f ca="1">C42</f>
        <v>150237</v>
      </c>
      <c r="O68" s="1293"/>
      <c r="P68" s="1293"/>
      <c r="Q68" s="2028"/>
      <c r="R68" s="2028"/>
      <c r="S68" s="2028"/>
      <c r="T68" s="2028"/>
      <c r="U68" s="2028"/>
      <c r="V68" s="2028"/>
    </row>
    <row r="69" spans="1:22" ht="12" customHeight="1">
      <c r="A69" s="357"/>
      <c r="B69" s="3341" t="s">
        <v>391</v>
      </c>
      <c r="C69" s="3341"/>
      <c r="D69" s="358"/>
      <c r="E69" s="73"/>
      <c r="F69" s="356"/>
      <c r="G69" s="3327"/>
      <c r="H69" s="311"/>
      <c r="I69" s="1292"/>
      <c r="J69" s="2035"/>
      <c r="K69" s="1294">
        <v>4</v>
      </c>
      <c r="L69" s="3303" t="s">
        <v>2880</v>
      </c>
      <c r="M69" s="3304"/>
      <c r="N69" s="1295">
        <f ca="1">C44</f>
        <v>150237</v>
      </c>
      <c r="O69" s="1295"/>
      <c r="P69" s="1295"/>
      <c r="Q69" s="2028"/>
      <c r="R69" s="2028"/>
      <c r="S69" s="2028"/>
      <c r="T69" s="2028"/>
      <c r="U69" s="2028"/>
      <c r="V69" s="2028"/>
    </row>
    <row r="70" spans="1:22" ht="24" customHeight="1">
      <c r="A70" s="359" t="s">
        <v>392</v>
      </c>
      <c r="B70" s="3341" t="s">
        <v>393</v>
      </c>
      <c r="C70" s="3341"/>
      <c r="D70" s="358">
        <f ca="1">ROUND(D63*'数据-取费表'!B41/(1+'数据-取费表'!C42),0)</f>
        <v>4722</v>
      </c>
      <c r="E70" s="17" t="s">
        <v>394</v>
      </c>
      <c r="F70" s="360">
        <f>'数据-取费表'!B41</f>
        <v>5.5000000000000007E-2</v>
      </c>
      <c r="G70" s="361"/>
      <c r="H70" s="311"/>
      <c r="I70" s="1292"/>
      <c r="J70" s="2035"/>
      <c r="K70" s="3060"/>
      <c r="L70" s="3061"/>
      <c r="M70" s="3061"/>
      <c r="N70" s="3062" t="s">
        <v>2885</v>
      </c>
      <c r="O70" s="3061"/>
      <c r="P70" s="3063"/>
      <c r="Q70" s="2028"/>
      <c r="R70" s="2028"/>
      <c r="S70" s="2028"/>
      <c r="T70" s="2028"/>
      <c r="U70" s="2028"/>
      <c r="V70" s="2028"/>
    </row>
    <row r="71" spans="1:22" ht="12" customHeight="1">
      <c r="A71" s="359" t="s">
        <v>400</v>
      </c>
      <c r="B71" s="3340" t="s">
        <v>401</v>
      </c>
      <c r="C71" s="3352"/>
      <c r="D71" s="358">
        <f ca="1">ROUND(D63*'数据-取费表'!B41/(1+'数据-取费表'!C42),0)</f>
        <v>4722</v>
      </c>
      <c r="E71" s="17" t="s">
        <v>394</v>
      </c>
      <c r="F71" s="360">
        <f>'数据-取费表'!B41</f>
        <v>5.5000000000000007E-2</v>
      </c>
      <c r="G71" s="361"/>
      <c r="H71" s="311"/>
      <c r="I71" s="1292"/>
      <c r="J71" s="2035"/>
      <c r="K71" s="3059" t="s">
        <v>395</v>
      </c>
      <c r="L71" s="3305" t="s">
        <v>396</v>
      </c>
      <c r="M71" s="3305"/>
      <c r="N71" s="3059" t="s">
        <v>397</v>
      </c>
      <c r="O71" s="3059" t="s">
        <v>398</v>
      </c>
      <c r="P71" s="3059" t="s">
        <v>399</v>
      </c>
      <c r="Q71" s="2028"/>
      <c r="R71" s="2028"/>
      <c r="S71" s="2028"/>
      <c r="T71" s="2028"/>
      <c r="U71" s="2028"/>
      <c r="V71" s="2028"/>
    </row>
    <row r="72" spans="1:22" ht="12" customHeight="1">
      <c r="A72" s="359" t="s">
        <v>403</v>
      </c>
      <c r="B72" s="3340" t="s">
        <v>404</v>
      </c>
      <c r="C72" s="3352"/>
      <c r="D72" s="358">
        <f ca="1">C86</f>
        <v>4612</v>
      </c>
      <c r="E72" s="73" t="s">
        <v>405</v>
      </c>
      <c r="F72" s="360">
        <f>'数据-取费表'!B41</f>
        <v>5.5000000000000007E-2</v>
      </c>
      <c r="G72" s="361"/>
      <c r="H72" s="1298"/>
      <c r="I72" s="1292"/>
      <c r="J72" s="2035"/>
      <c r="K72" s="1976">
        <v>1</v>
      </c>
      <c r="L72" s="3302" t="s">
        <v>402</v>
      </c>
      <c r="M72" s="3302"/>
      <c r="N72" s="1296">
        <f ca="1">D66</f>
        <v>4722</v>
      </c>
      <c r="O72" s="1859" t="str">
        <f>E66</f>
        <v>销售额×税（费）率</v>
      </c>
      <c r="P72" s="1297">
        <f>F66</f>
        <v>5.5000000000000007E-2</v>
      </c>
      <c r="Q72" s="2028"/>
      <c r="R72" s="2028"/>
      <c r="S72" s="2028"/>
      <c r="T72" s="2028"/>
      <c r="U72" s="2028"/>
      <c r="V72" s="2028"/>
    </row>
    <row r="73" spans="1:22" ht="24" customHeight="1">
      <c r="A73" s="3328" t="s">
        <v>407</v>
      </c>
      <c r="B73" s="3329"/>
      <c r="C73" s="3329"/>
      <c r="D73" s="362">
        <f>IF(H73="个人住宅",0,ROUND(D63*I73,0))</f>
        <v>0</v>
      </c>
      <c r="E73" s="17" t="s">
        <v>408</v>
      </c>
      <c r="F73" s="360" t="str">
        <f>IF(H73="正常",I73,"免征")</f>
        <v>免征</v>
      </c>
      <c r="G73" s="361"/>
      <c r="H73" s="191" t="s">
        <v>2453</v>
      </c>
      <c r="I73" s="360">
        <f>'数据-取费表'!B49</f>
        <v>5.0000000000000001E-4</v>
      </c>
      <c r="J73" s="2035"/>
      <c r="K73" s="1976">
        <v>2</v>
      </c>
      <c r="L73" s="3302" t="s">
        <v>406</v>
      </c>
      <c r="M73" s="3302"/>
      <c r="N73" s="1296">
        <f t="shared" ref="N73:P74" si="2">D73</f>
        <v>0</v>
      </c>
      <c r="O73" s="1859" t="str">
        <f t="shared" si="2"/>
        <v>销售额×税（费）率</v>
      </c>
      <c r="P73" s="1297" t="str">
        <f t="shared" si="2"/>
        <v>免征</v>
      </c>
      <c r="Q73" s="2028"/>
      <c r="R73" s="2028"/>
      <c r="S73" s="2028"/>
      <c r="T73" s="2028"/>
      <c r="U73" s="2028"/>
      <c r="V73" s="2028"/>
    </row>
    <row r="74" spans="1:22" ht="24.75">
      <c r="A74" s="3328" t="s">
        <v>411</v>
      </c>
      <c r="B74" s="3329"/>
      <c r="C74" s="3329"/>
      <c r="D74" s="362">
        <f ca="1">IF(H74="个人住宅",D75,D76)</f>
        <v>50447</v>
      </c>
      <c r="E74" s="17" t="s">
        <v>412</v>
      </c>
      <c r="F74" s="360" t="str">
        <f>IF(H74="正常",F76,"免征")</f>
        <v>——</v>
      </c>
      <c r="G74" s="983" t="s">
        <v>413</v>
      </c>
      <c r="H74" s="363" t="s">
        <v>409</v>
      </c>
      <c r="I74" s="42"/>
      <c r="J74" s="2035"/>
      <c r="K74" s="1976">
        <v>3</v>
      </c>
      <c r="L74" s="3302" t="s">
        <v>410</v>
      </c>
      <c r="M74" s="3302"/>
      <c r="N74" s="1296">
        <f t="shared" ca="1" si="2"/>
        <v>50447</v>
      </c>
      <c r="O74" s="1859" t="str">
        <f t="shared" si="2"/>
        <v>增值额×税（费）率</v>
      </c>
      <c r="P74" s="1299" t="str">
        <f t="shared" si="2"/>
        <v>——</v>
      </c>
      <c r="Q74" s="2028"/>
      <c r="R74" s="2028"/>
      <c r="S74" s="2028"/>
      <c r="T74" s="2028"/>
      <c r="U74" s="2028"/>
      <c r="V74" s="2028"/>
    </row>
    <row r="75" spans="1:22" ht="24">
      <c r="A75" s="359" t="s">
        <v>414</v>
      </c>
      <c r="B75" s="3309" t="s">
        <v>415</v>
      </c>
      <c r="C75" s="3310"/>
      <c r="D75" s="364">
        <v>0</v>
      </c>
      <c r="E75" s="41" t="s">
        <v>416</v>
      </c>
      <c r="F75" s="365"/>
      <c r="G75" s="361"/>
      <c r="H75" s="42"/>
      <c r="I75" s="42"/>
      <c r="J75" s="2035"/>
      <c r="K75" s="3052">
        <f>IF(H77="非个人房产","",4)</f>
        <v>4</v>
      </c>
      <c r="L75" s="3302" t="str">
        <f>IF(H77="非个人房产","——","个人所得税")</f>
        <v>个人所得税</v>
      </c>
      <c r="M75" s="3302"/>
      <c r="N75" s="1300">
        <f ca="1">D77</f>
        <v>901</v>
      </c>
      <c r="O75" s="1872" t="str">
        <f>E77</f>
        <v>销售额×税（费）率</v>
      </c>
      <c r="P75" s="1301">
        <f>F77</f>
        <v>0.01</v>
      </c>
      <c r="Q75" s="2028"/>
      <c r="R75" s="2028"/>
      <c r="S75" s="2028"/>
      <c r="T75" s="2028"/>
      <c r="U75" s="2028"/>
      <c r="V75" s="2028"/>
    </row>
    <row r="76" spans="1:22" ht="24.75">
      <c r="A76" s="359" t="s">
        <v>392</v>
      </c>
      <c r="B76" s="3309" t="s">
        <v>418</v>
      </c>
      <c r="C76" s="3351"/>
      <c r="D76" s="362">
        <f ca="1">IF(H76="转让取得",C99,C115)</f>
        <v>50447</v>
      </c>
      <c r="E76" s="17" t="s">
        <v>419</v>
      </c>
      <c r="F76" s="53" t="s">
        <v>21</v>
      </c>
      <c r="G76" s="361"/>
      <c r="H76" s="363" t="s">
        <v>420</v>
      </c>
      <c r="I76" s="42"/>
      <c r="J76" s="2035"/>
      <c r="K76" s="3052" t="str">
        <f>IF(项目基本情况!K6="上海银行",IF(K75="",4,K75+1),"")</f>
        <v/>
      </c>
      <c r="L76" s="3290" t="str">
        <f>IF(项目基本情况!K6="上海银行","其他处置费用","")</f>
        <v/>
      </c>
      <c r="M76" s="3291"/>
      <c r="N76" s="1296" t="str">
        <f>IF(项目基本情况!K6="上海银行",N89,"")</f>
        <v/>
      </c>
      <c r="O76" s="3292" t="str">
        <f>IF(项目基本情况!K6="上海银行","包含处置中涉及的律师、诉讼、拍卖、评估等费用","")</f>
        <v/>
      </c>
      <c r="P76" s="3293"/>
      <c r="Q76" s="2028"/>
      <c r="R76" s="2028"/>
      <c r="S76" s="2028"/>
      <c r="T76" s="2028"/>
      <c r="U76" s="2028"/>
      <c r="V76" s="2028"/>
    </row>
    <row r="77" spans="1:22" ht="26.25" thickBot="1">
      <c r="A77" s="3320" t="s">
        <v>422</v>
      </c>
      <c r="B77" s="3321"/>
      <c r="C77" s="3321"/>
      <c r="D77" s="366">
        <f ca="1">IF(H77="非个人房产","——",IF(H77="个人住宅",0,ROUND(D63*I77,0)))</f>
        <v>901</v>
      </c>
      <c r="E77" s="367" t="str">
        <f>IF(H77="非个人房产","——","销售额×税（费）率")</f>
        <v>销售额×税（费）率</v>
      </c>
      <c r="F77" s="368">
        <f>IF(H77="非个人房产","——",IF(H77="个人住宅","免征",I77))</f>
        <v>0.01</v>
      </c>
      <c r="G77" s="984" t="s">
        <v>413</v>
      </c>
      <c r="H77" s="363" t="s">
        <v>2881</v>
      </c>
      <c r="I77" s="369">
        <v>0.01</v>
      </c>
      <c r="J77" s="2035"/>
      <c r="K77" s="3316">
        <f>IF(AND(K75="",K76=""),4,IF(项目基本情况!K6="上海银行",K76+1,K75+1))</f>
        <v>5</v>
      </c>
      <c r="L77" s="3302" t="s">
        <v>2882</v>
      </c>
      <c r="M77" s="3058" t="s">
        <v>417</v>
      </c>
      <c r="N77" s="1302"/>
      <c r="O77" s="1303">
        <f ca="1">SUMIF(N72:N76,"&lt;9e307")</f>
        <v>56070</v>
      </c>
      <c r="P77" s="1304"/>
      <c r="Q77" s="3056">
        <f ca="1">O77/N69</f>
        <v>0.37321032768226203</v>
      </c>
      <c r="R77" s="2028"/>
      <c r="S77" s="2028"/>
      <c r="T77" s="2028"/>
      <c r="U77" s="2028"/>
      <c r="V77" s="2028"/>
    </row>
    <row r="78" spans="1:22" ht="12" customHeight="1">
      <c r="A78" s="1305"/>
      <c r="B78" s="311"/>
      <c r="C78" s="311"/>
      <c r="D78" s="311"/>
      <c r="E78" s="42"/>
      <c r="F78" s="42"/>
      <c r="G78" s="42"/>
      <c r="H78" s="1003"/>
      <c r="I78" s="311"/>
      <c r="J78" s="2035"/>
      <c r="K78" s="3316"/>
      <c r="L78" s="3302"/>
      <c r="M78" s="3058" t="s">
        <v>421</v>
      </c>
      <c r="N78" s="1302"/>
      <c r="O78" s="1303" t="str">
        <f ca="1">NUMBERSTRING(INT(O77*10000),2)&amp;"元整"</f>
        <v>伍亿陆仟零柒拾万元整</v>
      </c>
      <c r="P78" s="1304"/>
      <c r="Q78" s="2028"/>
      <c r="R78" s="2028"/>
      <c r="S78" s="2028"/>
      <c r="T78" s="2028"/>
      <c r="U78" s="2028"/>
      <c r="V78" s="2028"/>
    </row>
    <row r="79" spans="1:22" ht="13.5" thickBot="1">
      <c r="A79" s="3306" t="s">
        <v>423</v>
      </c>
      <c r="B79" s="3306"/>
      <c r="C79" s="3306"/>
      <c r="D79" s="3306"/>
      <c r="E79" s="3306"/>
      <c r="F79" s="42"/>
      <c r="G79" s="42"/>
      <c r="H79" s="1003"/>
      <c r="I79" s="311"/>
      <c r="J79" s="2035"/>
      <c r="K79" s="3300">
        <f>K77+1</f>
        <v>6</v>
      </c>
      <c r="L79" s="3302" t="s">
        <v>2883</v>
      </c>
      <c r="M79" s="3058" t="s">
        <v>417</v>
      </c>
      <c r="N79" s="1302"/>
      <c r="O79" s="1303">
        <f ca="1">N69-O77</f>
        <v>94167</v>
      </c>
      <c r="P79" s="1304"/>
      <c r="Q79" s="2028"/>
      <c r="R79" s="2028"/>
      <c r="S79" s="2028"/>
      <c r="T79" s="2028"/>
      <c r="U79" s="2028"/>
      <c r="V79" s="2028"/>
    </row>
    <row r="80" spans="1:22" ht="25.5">
      <c r="A80" s="3307" t="s">
        <v>424</v>
      </c>
      <c r="B80" s="3308"/>
      <c r="C80" s="994"/>
      <c r="D80" s="994" t="s">
        <v>425</v>
      </c>
      <c r="E80" s="370" t="s">
        <v>426</v>
      </c>
      <c r="F80" s="42"/>
      <c r="G80" s="42"/>
      <c r="H80" s="1003"/>
      <c r="I80" s="311"/>
      <c r="J80" s="2028"/>
      <c r="K80" s="3301"/>
      <c r="L80" s="3302"/>
      <c r="M80" s="3058" t="s">
        <v>421</v>
      </c>
      <c r="N80" s="1302"/>
      <c r="O80" s="1303" t="str">
        <f ca="1">NUMBERSTRING(INT(O79*10000),2)&amp;"元整"</f>
        <v>玖亿肆仟壹佰陆拾柒万元整</v>
      </c>
      <c r="P80" s="1304"/>
      <c r="Q80" s="2028"/>
      <c r="R80" s="2028"/>
      <c r="S80" s="2028"/>
      <c r="T80" s="2028"/>
      <c r="U80" s="2028"/>
      <c r="V80" s="2028"/>
    </row>
    <row r="81" spans="1:26" ht="13.5" thickBot="1">
      <c r="A81" s="381" t="s">
        <v>1820</v>
      </c>
      <c r="B81" s="371" t="s">
        <v>427</v>
      </c>
      <c r="C81" s="372">
        <f ca="1">ROUND((C82+C83)/(1+'数据-取费表'!C42),0)</f>
        <v>85850</v>
      </c>
      <c r="D81" s="373"/>
      <c r="E81" s="374"/>
      <c r="F81" s="42"/>
      <c r="G81" s="42"/>
      <c r="H81" s="1003"/>
      <c r="I81" s="311"/>
      <c r="J81" s="2028"/>
      <c r="K81" s="3052">
        <f>K79+1</f>
        <v>7</v>
      </c>
      <c r="L81" s="3314" t="s">
        <v>2884</v>
      </c>
      <c r="M81" s="3315"/>
      <c r="N81" s="1306"/>
      <c r="O81" s="1307">
        <f ca="1">ROUND(O79*10000/'数据-汇总表'!E3,0)</f>
        <v>7538</v>
      </c>
      <c r="P81" s="1308"/>
      <c r="Q81" s="2028"/>
      <c r="R81" s="2028"/>
      <c r="S81" s="2028"/>
      <c r="T81" s="2028"/>
      <c r="U81" s="2028"/>
      <c r="V81" s="2028"/>
    </row>
    <row r="82" spans="1:26" ht="13.5" thickTop="1">
      <c r="A82" s="375" t="s">
        <v>1821</v>
      </c>
      <c r="B82" s="376" t="s">
        <v>428</v>
      </c>
      <c r="C82" s="377">
        <f ca="1">D63</f>
        <v>90142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1822</v>
      </c>
      <c r="B83" s="376" t="s">
        <v>429</v>
      </c>
      <c r="C83" s="380">
        <v>0</v>
      </c>
      <c r="D83" s="378"/>
      <c r="E83" s="379"/>
      <c r="F83" s="42"/>
      <c r="G83" s="42"/>
      <c r="H83" s="1003"/>
      <c r="I83" s="311"/>
      <c r="J83" s="2028"/>
      <c r="K83" s="3289" t="s">
        <v>2871</v>
      </c>
      <c r="L83" s="3064" t="s">
        <v>2872</v>
      </c>
      <c r="M83" s="3054">
        <f ca="1">IF(N69&gt;10000,N69*0.5%,IF(AND(N69&gt;1000,N69&lt;=10000),N69*1%,IF(AND(N69&gt;100,N69&lt;=1000),N69*3%,IF(AND(N69&gt;10,N69&lt;=100),N69*5%,N69*8%))))</f>
        <v>751.18500000000006</v>
      </c>
      <c r="N83" s="53">
        <f ca="1">ROUND(M83,1)</f>
        <v>751.2</v>
      </c>
      <c r="O83" s="3057"/>
      <c r="P83" s="2028"/>
      <c r="Q83" s="2028"/>
      <c r="R83" s="2028"/>
      <c r="S83" s="2028"/>
      <c r="T83" s="2028"/>
      <c r="U83" s="2028"/>
      <c r="V83" s="2028"/>
    </row>
    <row r="84" spans="1:26" ht="12.75">
      <c r="A84" s="381" t="s">
        <v>1823</v>
      </c>
      <c r="B84" s="382" t="s">
        <v>430</v>
      </c>
      <c r="C84" s="383">
        <v>2000</v>
      </c>
      <c r="D84" s="384" t="s">
        <v>19</v>
      </c>
      <c r="E84" s="3097" t="s">
        <v>2932</v>
      </c>
      <c r="F84" s="42"/>
      <c r="G84" s="42"/>
      <c r="H84" s="1003"/>
      <c r="I84" s="311"/>
      <c r="J84" s="2028"/>
      <c r="K84" s="3289"/>
      <c r="L84" s="3064" t="s">
        <v>2873</v>
      </c>
      <c r="M84" s="3054">
        <f ca="1">IF(N69&gt;2000,N69*0.5%,IF(AND(N69&gt;1000,N69&lt;=2000),N69*0.6%,IF(AND(N69&gt;500,N69&lt;=1000),N69*0.7%,IF(AND(N69&gt;200,N69&lt;=500),N69*0.8%,IF(AND(N69&gt;100,N69&lt;=200),N69*0.9%,IF(AND(N69&gt;50,N69&lt;=100),N69*1%,IF(AND(N69&gt;20,N69&lt;=50),N69*1.5%,IF(AND(N69&gt;10,N69&lt;=20),N69*2%,IF(AND(N69&gt;1,N69&lt;=10),N69*2.5%)))))))))</f>
        <v>751.18500000000006</v>
      </c>
      <c r="N84" s="53">
        <f t="shared" ref="N84:N85" ca="1" si="3">ROUND(M84,1)</f>
        <v>751.2</v>
      </c>
      <c r="O84" s="2028" t="s">
        <v>2874</v>
      </c>
      <c r="P84" s="2028"/>
      <c r="Q84" s="2028"/>
      <c r="R84" s="2028"/>
      <c r="S84" s="2028"/>
      <c r="T84" s="2028"/>
      <c r="U84" s="2028"/>
      <c r="V84" s="2028"/>
    </row>
    <row r="85" spans="1:26" ht="12.75">
      <c r="A85" s="381" t="s">
        <v>1824</v>
      </c>
      <c r="B85" s="382" t="s">
        <v>431</v>
      </c>
      <c r="C85" s="385">
        <f ca="1">C81-C84</f>
        <v>83850</v>
      </c>
      <c r="D85" s="378" t="s">
        <v>19</v>
      </c>
      <c r="E85" s="379"/>
      <c r="F85" s="42"/>
      <c r="G85" s="42"/>
      <c r="H85" s="1003"/>
      <c r="I85" s="311"/>
      <c r="J85" s="2028"/>
      <c r="K85" s="3289"/>
      <c r="L85" s="3064" t="s">
        <v>2875</v>
      </c>
      <c r="M85" s="3054">
        <f ca="1">IF(N69&gt;1000,N69*0.1%,IF(AND(N69&gt;500,N69&lt;=1000),N69*0.5%,IF(AND(N69&gt;50,N69&lt;=500),N69*1%,IF(AND(N69&gt;1,N69&lt;=50),N69*1.5%))))</f>
        <v>150.23699999999999</v>
      </c>
      <c r="N85" s="53">
        <f t="shared" ca="1" si="3"/>
        <v>150.19999999999999</v>
      </c>
      <c r="O85" s="2028" t="s">
        <v>2874</v>
      </c>
      <c r="P85" s="2028"/>
      <c r="Q85" s="2028"/>
      <c r="R85" s="2028"/>
      <c r="S85" s="2028"/>
      <c r="T85" s="2028"/>
      <c r="U85" s="2028"/>
      <c r="V85" s="2028"/>
    </row>
    <row r="86" spans="1:26" ht="13.5" thickBot="1">
      <c r="A86" s="386" t="s">
        <v>1825</v>
      </c>
      <c r="B86" s="387" t="s">
        <v>432</v>
      </c>
      <c r="C86" s="388">
        <f ca="1">IF(C85&lt;=0,0,ROUND(C85*D86,0))</f>
        <v>4612</v>
      </c>
      <c r="D86" s="389">
        <f>'数据-取费表'!B41</f>
        <v>5.5000000000000007E-2</v>
      </c>
      <c r="E86" s="390"/>
      <c r="F86" s="42"/>
      <c r="G86" s="42"/>
      <c r="H86" s="1003"/>
      <c r="I86" s="311"/>
      <c r="J86" s="2028"/>
      <c r="K86" s="3289"/>
      <c r="L86" s="3064" t="s">
        <v>2876</v>
      </c>
      <c r="M86" s="3054">
        <f ca="1">N69*0.5%</f>
        <v>751.18500000000006</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9"/>
      <c r="L87" s="3064" t="s">
        <v>2878</v>
      </c>
      <c r="M87" s="3054">
        <f ca="1">IF(N69&gt;=10000,(8.25+(N69-10000)*0.01%),IF(AND(N69&gt;=8000,N69&lt;10000),(7.85+(N69-8000)*0.02%),IF(AND(N69&gt;=5000,N69&lt;8000),(6.65+(N69-5000)*0.04%),IF(AND(N69&gt;=2000,N69&lt;5000),(4.25+(PN69-2000)*0.08%),IF(AND(N69&gt;=1000,N69&lt;2000),(2.75+(N69-1000)*0.15%),IF(AND(N69&gt;=100,N69&lt;1000),(0.5+(N69-100)*0.25%),IF(AND(N69&gt;0,N69&lt;100),N69*0.5%)))))))</f>
        <v>22.273699999999998</v>
      </c>
      <c r="N87" s="53">
        <f ca="1">ROUND(M87*0.9,1)</f>
        <v>20</v>
      </c>
      <c r="O87" s="3057"/>
      <c r="P87" s="311"/>
      <c r="Q87" s="2028"/>
      <c r="R87" s="2028"/>
      <c r="S87" s="2028"/>
      <c r="T87" s="2028"/>
      <c r="U87" s="2028"/>
      <c r="V87" s="2028"/>
      <c r="W87" s="292"/>
      <c r="X87" s="292"/>
      <c r="Y87" s="292"/>
      <c r="Z87" s="292"/>
    </row>
    <row r="88" spans="1:26" s="1314" customFormat="1" ht="15" thickBot="1">
      <c r="A88" s="3343" t="s">
        <v>433</v>
      </c>
      <c r="B88" s="3344"/>
      <c r="C88" s="3344"/>
      <c r="D88" s="3344"/>
      <c r="E88" s="3344"/>
      <c r="F88" s="3344"/>
      <c r="G88" s="3344"/>
      <c r="H88" s="3344"/>
      <c r="I88" s="1315"/>
      <c r="J88" s="2036"/>
      <c r="K88" s="3289"/>
      <c r="L88" s="3064" t="s">
        <v>2879</v>
      </c>
      <c r="M88" s="3054">
        <f ca="1">IF(N69&gt;10000,N69*0.5%,IF(AND(N69&gt;5000,N69&lt;=10000),N69*1%,IF(AND(N69&gt;1000,N69&lt;=5000),N69*2%,IF(AND(N69&gt;200,N69&lt;=1000),N69*3%,N69*5%))))</f>
        <v>751.18500000000006</v>
      </c>
      <c r="N88" s="53">
        <f ca="1">ROUND(M88,1)</f>
        <v>751.2</v>
      </c>
      <c r="O88" s="3057"/>
      <c r="P88" s="11"/>
      <c r="Q88" s="2033"/>
      <c r="R88" s="2033"/>
      <c r="S88" s="2033"/>
      <c r="T88" s="2033"/>
      <c r="U88" s="2033"/>
      <c r="V88" s="2033"/>
      <c r="W88" s="2037"/>
      <c r="X88" s="2037"/>
      <c r="Y88" s="2037"/>
      <c r="Z88" s="2037"/>
    </row>
    <row r="89" spans="1:26" s="1314" customFormat="1" ht="14.25">
      <c r="A89" s="3307" t="s">
        <v>424</v>
      </c>
      <c r="B89" s="3308"/>
      <c r="C89" s="994"/>
      <c r="D89" s="994" t="s">
        <v>425</v>
      </c>
      <c r="E89" s="391" t="s">
        <v>434</v>
      </c>
      <c r="F89" s="392"/>
      <c r="G89" s="392"/>
      <c r="H89" s="393"/>
      <c r="I89" s="1316"/>
      <c r="J89" s="2038"/>
      <c r="K89" s="3289"/>
      <c r="L89" s="3064" t="s">
        <v>27</v>
      </c>
      <c r="M89" s="3055"/>
      <c r="N89" s="53">
        <f ca="1">ROUND(SUM(N83:N88),0)</f>
        <v>2424</v>
      </c>
      <c r="O89" s="3065">
        <f ca="1">N89/N69</f>
        <v>1.6134507478184467E-2</v>
      </c>
      <c r="P89" s="2033"/>
      <c r="Q89" s="2033"/>
      <c r="R89" s="2033"/>
      <c r="S89" s="2033"/>
      <c r="T89" s="2033"/>
      <c r="U89" s="2033"/>
      <c r="V89" s="2033"/>
      <c r="W89" s="2037"/>
      <c r="X89" s="2037"/>
      <c r="Y89" s="2037"/>
      <c r="Z89" s="2037"/>
    </row>
    <row r="90" spans="1:26" s="1314" customFormat="1" ht="14.25">
      <c r="A90" s="381" t="s">
        <v>1820</v>
      </c>
      <c r="B90" s="382" t="s">
        <v>435</v>
      </c>
      <c r="C90" s="385">
        <f ca="1">ROUND(D63/(1+'数据-取费表'!C42),0)</f>
        <v>85850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1826</v>
      </c>
      <c r="B91" s="348" t="s">
        <v>436</v>
      </c>
      <c r="C91" s="385">
        <f ca="1">C92+C96</f>
        <v>2990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1827</v>
      </c>
      <c r="B92" s="376" t="s">
        <v>437</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1828</v>
      </c>
      <c r="B93" s="376" t="s">
        <v>438</v>
      </c>
      <c r="C93" s="396">
        <v>2000</v>
      </c>
      <c r="D93" s="378" t="s">
        <v>19</v>
      </c>
      <c r="E93" s="397" t="s">
        <v>439</v>
      </c>
      <c r="F93" s="398" t="s">
        <v>440</v>
      </c>
      <c r="G93" s="397" t="s">
        <v>441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1829</v>
      </c>
      <c r="B94" s="400" t="s">
        <v>442</v>
      </c>
      <c r="C94" s="378">
        <f>IF(F93="购房发票",ROUND(C93*H93*5%,0),0)</f>
        <v>500</v>
      </c>
      <c r="D94" s="401">
        <v>0.05</v>
      </c>
      <c r="E94" s="3340" t="s">
        <v>443</v>
      </c>
      <c r="F94" s="3341"/>
      <c r="G94" s="3341"/>
      <c r="H94" s="334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1830</v>
      </c>
      <c r="B95" s="376" t="s">
        <v>444</v>
      </c>
      <c r="C95" s="378">
        <f>ROUND(IF(G95="个人买卖住房",0,IF(G95="2016年5月1日前购买",C93*D95,C93*D95/(1+'数据-取费表'!C42))),0)</f>
        <v>61</v>
      </c>
      <c r="D95" s="402">
        <f>'数据-取费表'!B48+'数据-取费表'!B49</f>
        <v>3.0499999999999999E-2</v>
      </c>
      <c r="E95" s="26" t="s">
        <v>445</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1831</v>
      </c>
      <c r="B96" s="376" t="s">
        <v>446</v>
      </c>
      <c r="C96" s="405">
        <f ca="1">ROUND(D63*D96/(1+'数据-取费表'!C42),0)</f>
        <v>429</v>
      </c>
      <c r="D96" s="406">
        <f>'数据-取费表'!B43</f>
        <v>5.000000000000001E-3</v>
      </c>
      <c r="E96" s="3330" t="s">
        <v>2426</v>
      </c>
      <c r="F96" s="3331"/>
      <c r="G96" s="3331"/>
      <c r="H96" s="333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1832</v>
      </c>
      <c r="B97" s="382" t="s">
        <v>447</v>
      </c>
      <c r="C97" s="385">
        <f ca="1">C90-C91</f>
        <v>82860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1833</v>
      </c>
      <c r="B98" s="382" t="s">
        <v>448</v>
      </c>
      <c r="C98" s="407">
        <f ca="1">IF(C97&lt;=0,0,C97/C91)</f>
        <v>27.712374581939798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1834</v>
      </c>
      <c r="B99" s="387" t="s">
        <v>449</v>
      </c>
      <c r="C99" s="408">
        <f ca="1">ROUND(IF(C97&lt;=0,0,IF(C98&gt;=200%,C97*60%-C91*35%,IF(C98&gt;=100%,C97*50%-C91*15%,IF(C98&gt;=50%,C97*40%-C91*5%,IF(C98&lt;50%,C97*30%,0))))),0)</f>
        <v>48670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3" t="s">
        <v>450</v>
      </c>
      <c r="B101" s="3344"/>
      <c r="C101" s="3344"/>
      <c r="D101" s="3344"/>
      <c r="E101" s="3344"/>
      <c r="F101" s="3344"/>
      <c r="G101" s="3344"/>
      <c r="H101" s="334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7" t="s">
        <v>424</v>
      </c>
      <c r="B102" s="3308"/>
      <c r="C102" s="994"/>
      <c r="D102" s="994" t="s">
        <v>425</v>
      </c>
      <c r="E102" s="391" t="s">
        <v>434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1820</v>
      </c>
      <c r="B103" s="382" t="s">
        <v>435</v>
      </c>
      <c r="C103" s="385">
        <f ca="1">ROUND(D63/(1+'数据-取费表'!C42),0)</f>
        <v>85850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1826</v>
      </c>
      <c r="B104" s="348" t="s">
        <v>436</v>
      </c>
      <c r="C104" s="385">
        <f ca="1">IF(H106="仅含出让金",C105+C108+C109+C110+C111+C112,C105+C109+C110+C111+C112)</f>
        <v>1119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1827</v>
      </c>
      <c r="B105" s="376" t="s">
        <v>451</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1828</v>
      </c>
      <c r="B106" s="376" t="s">
        <v>452</v>
      </c>
      <c r="C106" s="416">
        <v>555</v>
      </c>
      <c r="D106" s="406"/>
      <c r="E106" s="417" t="s">
        <v>453</v>
      </c>
      <c r="F106" s="986"/>
      <c r="G106" s="418" t="s">
        <v>454</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1829</v>
      </c>
      <c r="B107" s="376" t="s">
        <v>444</v>
      </c>
      <c r="C107" s="405">
        <f>ROUND(C106*D107,0)</f>
        <v>17</v>
      </c>
      <c r="D107" s="406">
        <f>'数据-取费表'!B48+'数据-取费表'!B49</f>
        <v>3.0499999999999999E-2</v>
      </c>
      <c r="E107" s="417" t="s">
        <v>455</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1831</v>
      </c>
      <c r="B108" s="376" t="s">
        <v>456</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1835</v>
      </c>
      <c r="B109" s="376" t="s">
        <v>457</v>
      </c>
      <c r="C109" s="405">
        <f>IF(H109="——",IF(F1="现房",'剩余法-现房'!C18,'剩余法-待开发'!C18),I109)</f>
        <v>55</v>
      </c>
      <c r="D109" s="406"/>
      <c r="E109" s="3333" t="s">
        <v>458</v>
      </c>
      <c r="F109" s="3331"/>
      <c r="G109" s="3331"/>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1836</v>
      </c>
      <c r="B110" s="376" t="s">
        <v>459</v>
      </c>
      <c r="C110" s="405">
        <f>ROUND((C105+C108+C109)*D110,0)</f>
        <v>63</v>
      </c>
      <c r="D110" s="406">
        <v>0.1</v>
      </c>
      <c r="E110" s="3333" t="s">
        <v>460</v>
      </c>
      <c r="F110" s="3331"/>
      <c r="G110" s="3331"/>
      <c r="H110" s="333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1837</v>
      </c>
      <c r="B111" s="376" t="s">
        <v>446</v>
      </c>
      <c r="C111" s="405">
        <f ca="1">ROUND(D63*D111/(1+'数据-取费表'!C42),0)</f>
        <v>429</v>
      </c>
      <c r="D111" s="406">
        <f>'数据-取费表'!B43</f>
        <v>5.000000000000001E-3</v>
      </c>
      <c r="E111" s="3330" t="s">
        <v>2426</v>
      </c>
      <c r="F111" s="3331"/>
      <c r="G111" s="3331"/>
      <c r="H111" s="333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1838</v>
      </c>
      <c r="B112" s="376" t="s">
        <v>461</v>
      </c>
      <c r="C112" s="405">
        <f>ROUND(C108*D112,0)</f>
        <v>0</v>
      </c>
      <c r="D112" s="406">
        <v>0.2</v>
      </c>
      <c r="E112" s="3333" t="s">
        <v>2451</v>
      </c>
      <c r="F112" s="3331"/>
      <c r="G112" s="3331"/>
      <c r="H112" s="333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1832</v>
      </c>
      <c r="B113" s="382" t="s">
        <v>447</v>
      </c>
      <c r="C113" s="385">
        <f ca="1">ROUND(C103-C104,0)</f>
        <v>84731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1833</v>
      </c>
      <c r="B114" s="382" t="s">
        <v>448</v>
      </c>
      <c r="C114" s="407">
        <f ca="1">IF(C113&lt;=0,0,C113/C104)</f>
        <v>75.72028596961573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1834</v>
      </c>
      <c r="B115" s="387" t="s">
        <v>449</v>
      </c>
      <c r="C115" s="408">
        <f ca="1">ROUND(IF(C113&lt;=0,0,IF(C114&gt;=200%,C113*60%-C104*35%,IF(C114&gt;=100%,C113*50%-C104*15%,IF(C114&gt;=50%,C113*40%-C104*5%,IF(C114&lt;50%,C113*30%,0))))),0)</f>
        <v>50447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B13"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462</v>
      </c>
      <c r="B1" s="2809"/>
      <c r="C1" s="2104"/>
      <c r="D1" s="2104"/>
      <c r="E1" s="2104"/>
      <c r="F1" s="2104"/>
      <c r="G1" s="2104"/>
      <c r="H1" s="2104"/>
      <c r="I1" s="2104"/>
      <c r="J1" s="2104"/>
      <c r="K1" s="422">
        <f>MATCH(B1,'数据-取费表'!A6:A16,0)+5</f>
        <v>10</v>
      </c>
    </row>
    <row r="2" spans="1:31" s="2041" customFormat="1" ht="18" customHeight="1">
      <c r="A2" s="2101" t="s">
        <v>463</v>
      </c>
      <c r="B2" s="2105">
        <f ca="1">C36</f>
        <v>143285</v>
      </c>
      <c r="C2" s="2104"/>
      <c r="D2" s="2104"/>
      <c r="E2" s="2104"/>
      <c r="F2" s="2104"/>
      <c r="G2" s="2104"/>
      <c r="H2" s="2104"/>
      <c r="I2" s="2104"/>
      <c r="J2" s="2104"/>
      <c r="K2" s="2104"/>
    </row>
    <row r="3" spans="1:31" s="2041" customFormat="1" ht="18" customHeight="1">
      <c r="A3" s="2106" t="s">
        <v>1681</v>
      </c>
      <c r="B3" s="2107">
        <f ca="1">ROUND(B2*10000/IF(B1="",'数据-汇总表'!E3,INDIRECT("'数据-取费表'!K"&amp;$K$1)),0)</f>
        <v>11470</v>
      </c>
      <c r="C3" s="2104"/>
      <c r="D3" s="2104"/>
      <c r="E3" s="2104"/>
      <c r="F3" s="2104"/>
      <c r="G3" s="2104"/>
      <c r="H3" s="2104"/>
      <c r="I3" s="2104"/>
      <c r="J3" s="2104"/>
      <c r="K3" s="2104"/>
    </row>
    <row r="4" spans="1:31" s="2041" customFormat="1" ht="18" customHeight="1">
      <c r="A4" s="426" t="s">
        <v>464</v>
      </c>
      <c r="B4" s="427">
        <f ca="1">ROUND(B2*10000/IF(B1="",'数据-汇总表'!D3,INDIRECT("'数据-取费表'!R"&amp;$K$1)),0)</f>
        <v>42361</v>
      </c>
      <c r="C4" s="428"/>
      <c r="D4" s="422"/>
      <c r="E4" s="422"/>
      <c r="F4" s="422"/>
      <c r="G4" s="422"/>
      <c r="H4" s="422"/>
      <c r="I4" s="422"/>
      <c r="J4" s="422"/>
      <c r="K4" s="422"/>
    </row>
    <row r="5" spans="1:31" s="2041" customFormat="1" ht="18" customHeight="1" thickBot="1">
      <c r="A5" s="429"/>
      <c r="B5" s="430">
        <f ca="1">ROUND(B2/(IF(B1="",'数据-汇总表'!D3,INDIRECT("'数据-取费表'!R"&amp;$K$1))/666.67),0)</f>
        <v>2824</v>
      </c>
      <c r="C5" s="431" t="s">
        <v>465</v>
      </c>
      <c r="D5" s="422"/>
      <c r="E5" s="422"/>
      <c r="F5" s="422"/>
      <c r="G5" s="422"/>
      <c r="H5" s="422"/>
      <c r="I5" s="422"/>
      <c r="J5" s="422"/>
      <c r="K5" s="422"/>
    </row>
    <row r="6" spans="1:31" s="2111" customFormat="1" ht="16.5" customHeight="1">
      <c r="A6" s="2828" t="s">
        <v>1839</v>
      </c>
      <c r="B6" s="2829"/>
      <c r="C6" s="2830">
        <f ca="1">SUM(C10:K10)</f>
        <v>235652</v>
      </c>
      <c r="D6" s="2829"/>
      <c r="E6" s="2829"/>
      <c r="F6" s="2829"/>
      <c r="G6" s="2829"/>
      <c r="H6" s="2829"/>
      <c r="I6" s="2829"/>
      <c r="J6" s="2829"/>
      <c r="K6" s="2831"/>
    </row>
    <row r="7" spans="1:31" s="2113" customFormat="1" ht="15">
      <c r="A7" s="2832" t="s">
        <v>466</v>
      </c>
      <c r="B7" s="2833" t="s">
        <v>467</v>
      </c>
      <c r="C7" s="436" t="s">
        <v>3081</v>
      </c>
      <c r="D7" s="436" t="s">
        <v>3047</v>
      </c>
      <c r="E7" s="436" t="s">
        <v>3080</v>
      </c>
      <c r="F7" s="436" t="s">
        <v>35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1842</v>
      </c>
      <c r="B8" s="261" t="s">
        <v>468</v>
      </c>
      <c r="C8" s="2834">
        <v>23000</v>
      </c>
      <c r="D8" s="2834">
        <f ca="1">'不动产收益法-商业'!B3</f>
        <v>0</v>
      </c>
      <c r="E8" s="2834">
        <f ca="1">'不动产收益法-仓储'!B3</f>
        <v>4221</v>
      </c>
      <c r="F8" s="2834">
        <f>'不动产比较法-车位'!B3</f>
        <v>5882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1843</v>
      </c>
      <c r="B9" s="261" t="s">
        <v>469</v>
      </c>
      <c r="C9" s="441">
        <f>SUMIF('数据-汇总表'!$C19:$C33,'剩余法-待开发'!C7,'数据-汇总表'!$E19:$E33)</f>
        <v>95293</v>
      </c>
      <c r="D9" s="441">
        <f>SUMIF('数据-汇总表'!$C19:$C33,'剩余法-待开发'!D7,'数据-汇总表'!$E19:$E33)</f>
        <v>0</v>
      </c>
      <c r="E9" s="441">
        <f>SUMIF('数据-汇总表'!$C19:$C33,'剩余法-待开发'!E7,'数据-汇总表'!$E19:$E33)</f>
        <v>5719</v>
      </c>
      <c r="F9" s="441">
        <f>SUMIF('数据-汇总表'!$C19:$C33,'剩余法-待开发'!F7,'数据-汇总表'!$E19:$E33)</f>
        <v>23909.5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1844</v>
      </c>
      <c r="B10" s="2822" t="s">
        <v>470</v>
      </c>
      <c r="C10" s="3028">
        <f>ROUND(C8*C9/10000,0)</f>
        <v>219174</v>
      </c>
      <c r="D10" s="3028">
        <f ca="1">'不动产收益法-商业'!B2</f>
        <v>0</v>
      </c>
      <c r="E10" s="3028">
        <f ca="1">'不动产收益法-仓储'!B2</f>
        <v>2414</v>
      </c>
      <c r="F10" s="2837">
        <f>'不动产比较法-车位'!B2</f>
        <v>14064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1840</v>
      </c>
      <c r="B11" s="2829"/>
      <c r="C11" s="2829"/>
      <c r="D11" s="2829"/>
      <c r="E11" s="2829"/>
      <c r="F11" s="2829"/>
      <c r="G11" s="2829"/>
      <c r="H11" s="2829"/>
      <c r="I11" s="2829"/>
      <c r="J11" s="2829"/>
      <c r="K11" s="2831"/>
    </row>
    <row r="12" spans="1:31" s="2085" customFormat="1" ht="13.5" customHeight="1">
      <c r="A12" s="2840" t="s">
        <v>466</v>
      </c>
      <c r="B12" s="2812" t="s">
        <v>467</v>
      </c>
      <c r="C12" s="2841" t="s">
        <v>471</v>
      </c>
      <c r="D12" s="2808" t="s">
        <v>472</v>
      </c>
      <c r="E12" s="2808" t="s">
        <v>473</v>
      </c>
      <c r="F12" s="2808" t="s">
        <v>474</v>
      </c>
      <c r="G12" s="2812"/>
      <c r="H12" s="2813"/>
      <c r="I12" s="2813"/>
      <c r="J12" s="2813"/>
      <c r="K12" s="2814"/>
    </row>
    <row r="13" spans="1:31" s="2116" customFormat="1" ht="13.5" customHeight="1">
      <c r="A13" s="2842" t="s">
        <v>1845</v>
      </c>
      <c r="B13" s="2843" t="s">
        <v>475</v>
      </c>
      <c r="C13" s="450">
        <f ca="1">IF(B1="",'数据-取费表'!P16,INDIRECT("'数据-取费表'!p"&amp;$K$1)+INDIRECT("'数据-取费表'!t"&amp;$K$1))</f>
        <v>31624</v>
      </c>
      <c r="D13" s="2844"/>
      <c r="E13" s="2845"/>
      <c r="F13" s="2846"/>
      <c r="G13" s="2812"/>
      <c r="H13" s="2813"/>
      <c r="I13" s="2813"/>
      <c r="J13" s="2813"/>
      <c r="K13" s="2814"/>
    </row>
    <row r="14" spans="1:31" s="2116" customFormat="1" ht="13.5" customHeight="1">
      <c r="A14" s="2842" t="s">
        <v>1846</v>
      </c>
      <c r="B14" s="2843" t="s">
        <v>476</v>
      </c>
      <c r="C14" s="53">
        <f ca="1">ROUND(C13*F14,0)</f>
        <v>949</v>
      </c>
      <c r="D14" s="2844"/>
      <c r="E14" s="2845"/>
      <c r="F14" s="2847">
        <f>'数据-取费表'!B33</f>
        <v>0.03</v>
      </c>
      <c r="G14" s="2812" t="s">
        <v>477</v>
      </c>
      <c r="H14" s="2813"/>
      <c r="I14" s="2813"/>
      <c r="J14" s="2813"/>
      <c r="K14" s="2814"/>
    </row>
    <row r="15" spans="1:31" s="2116" customFormat="1" ht="13.5" customHeight="1">
      <c r="A15" s="2842" t="s">
        <v>1847</v>
      </c>
      <c r="B15" s="2843" t="s">
        <v>478</v>
      </c>
      <c r="C15" s="53">
        <f ca="1">ROUND(IF(B1="",SUMIF('数据-取费表'!C:C,"住宅",'数据-取费表'!P:P)*F15,IF(INDIRECT("'数据-取费表'!c"&amp;$K$1)="住宅",INDIRECT("'数据-取费表'!P"&amp;$K$1)*F15,0)),0)</f>
        <v>758</v>
      </c>
      <c r="D15" s="2844"/>
      <c r="E15" s="2845"/>
      <c r="F15" s="2847">
        <f>'数据-取费表'!B34</f>
        <v>0.03</v>
      </c>
      <c r="G15" s="2812" t="s">
        <v>479</v>
      </c>
      <c r="H15" s="2813"/>
      <c r="I15" s="2813"/>
      <c r="J15" s="2813"/>
      <c r="K15" s="2814"/>
    </row>
    <row r="16" spans="1:31" s="2117" customFormat="1" ht="13.5" customHeight="1">
      <c r="A16" s="2842" t="s">
        <v>1848</v>
      </c>
      <c r="B16" s="2843" t="s">
        <v>480</v>
      </c>
      <c r="C16" s="53">
        <f ca="1">ROUND(D16*E16/10000,0)</f>
        <v>2498</v>
      </c>
      <c r="D16" s="2844">
        <f ca="1">IF(B1="",'数据-汇总表'!E3,INDIRECT("'数据-取费表'!K"&amp;$K$1)+INDIRECT("'数据-取费表'!S"&amp;$K$1))</f>
        <v>124921.5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1849</v>
      </c>
      <c r="B17" s="2843" t="s">
        <v>481</v>
      </c>
      <c r="C17" s="2848">
        <f ca="1">ROUND(C13*F17,0)</f>
        <v>474</v>
      </c>
      <c r="D17" s="475"/>
      <c r="E17" s="2848"/>
      <c r="F17" s="2849">
        <f>'数据-取费表'!B36</f>
        <v>1.4999999999999999E-2</v>
      </c>
      <c r="G17" s="261" t="s">
        <v>482</v>
      </c>
      <c r="H17" s="2815"/>
      <c r="I17" s="2815"/>
      <c r="J17" s="2815"/>
      <c r="K17" s="279"/>
    </row>
    <row r="18" spans="1:14" s="2116" customFormat="1" ht="13.5" customHeight="1">
      <c r="A18" s="2850" t="s">
        <v>1850</v>
      </c>
      <c r="B18" s="2851" t="s">
        <v>483</v>
      </c>
      <c r="C18" s="2852">
        <f ca="1">SUM(C13:C17)</f>
        <v>36303</v>
      </c>
      <c r="D18" s="2853"/>
      <c r="E18" s="468"/>
      <c r="F18" s="468"/>
      <c r="G18" s="2816" t="s">
        <v>2428</v>
      </c>
      <c r="H18" s="2817"/>
      <c r="I18" s="2817"/>
      <c r="J18" s="2817"/>
      <c r="K18" s="2818"/>
    </row>
    <row r="19" spans="1:14" s="2116" customFormat="1" ht="13.5" customHeight="1">
      <c r="A19" s="2850" t="s">
        <v>1851</v>
      </c>
      <c r="B19" s="2851" t="s">
        <v>484</v>
      </c>
      <c r="C19" s="2808">
        <f ca="1">ROUND(D19*E19/10000,0)</f>
        <v>1249</v>
      </c>
      <c r="D19" s="2854">
        <f ca="1">D16</f>
        <v>124921.5</v>
      </c>
      <c r="E19" s="2808">
        <f>'数据-取费表'!B32</f>
        <v>100</v>
      </c>
      <c r="F19" s="468"/>
      <c r="G19" s="2812" t="s">
        <v>485</v>
      </c>
      <c r="H19" s="2813"/>
      <c r="I19" s="2817"/>
      <c r="J19" s="2817"/>
      <c r="K19" s="2818"/>
    </row>
    <row r="20" spans="1:14" s="2116" customFormat="1" ht="13.5" customHeight="1">
      <c r="A20" s="2850" t="s">
        <v>1852</v>
      </c>
      <c r="B20" s="2851" t="s">
        <v>486</v>
      </c>
      <c r="C20" s="2808">
        <f ca="1">C21+C22-IF(B1="",'数据-取费表'!B29,IF(G20="已全部缴纳",C21+C22,H20))</f>
        <v>2118</v>
      </c>
      <c r="D20" s="2854"/>
      <c r="E20" s="2808"/>
      <c r="F20" s="2855"/>
      <c r="G20" s="3085" t="s">
        <v>3086</v>
      </c>
      <c r="H20" s="2810"/>
      <c r="I20" s="2811" t="s">
        <v>2648</v>
      </c>
      <c r="J20" s="2817"/>
      <c r="K20" s="2818"/>
    </row>
    <row r="21" spans="1:14" s="2116" customFormat="1" ht="13.5" customHeight="1">
      <c r="A21" s="2842" t="s">
        <v>1853</v>
      </c>
      <c r="B21" s="2843" t="s">
        <v>487</v>
      </c>
      <c r="C21" s="53">
        <f ca="1">ROUND(D21*E21/10000,0)</f>
        <v>1525</v>
      </c>
      <c r="D21" s="2844">
        <f ca="1">IF(B1="",'数据-汇总表'!E5,IF(INDIRECT("'数据-取费表'!c"&amp;$K$1)="住宅",INDIRECT("'数据-取费表'!k"&amp;$K$1),0))</f>
        <v>95293</v>
      </c>
      <c r="E21" s="53">
        <f>'数据-取费表'!B27</f>
        <v>160</v>
      </c>
      <c r="F21" s="2847"/>
      <c r="G21" s="26"/>
      <c r="H21" s="51"/>
      <c r="I21" s="51"/>
      <c r="J21" s="51"/>
      <c r="K21" s="2819"/>
    </row>
    <row r="22" spans="1:14" s="2116" customFormat="1" ht="13.5" customHeight="1">
      <c r="A22" s="2842" t="s">
        <v>1854</v>
      </c>
      <c r="B22" s="2843" t="s">
        <v>488</v>
      </c>
      <c r="C22" s="53">
        <f ca="1">ROUND(D22*E22/10000,0)</f>
        <v>593</v>
      </c>
      <c r="D22" s="2844">
        <f ca="1">IF(B1="",'数据-汇总表'!E6,IF(INDIRECT("'数据-取费表'!c"&amp;$K$1)="住宅",INDIRECT("'数据-取费表'!s"&amp;$K$1),INDIRECT("'数据-取费表'!k"&amp;$K$1)+INDIRECT("'数据-取费表'!s"&amp;$K$1)))</f>
        <v>29628.5</v>
      </c>
      <c r="E22" s="53">
        <f>'数据-取费表'!B28</f>
        <v>200</v>
      </c>
      <c r="F22" s="2847"/>
      <c r="G22" s="26"/>
      <c r="H22" s="51"/>
      <c r="I22" s="51"/>
      <c r="J22" s="51"/>
      <c r="K22" s="2819"/>
    </row>
    <row r="23" spans="1:14" s="2116" customFormat="1" ht="13.5" customHeight="1">
      <c r="A23" s="2850" t="s">
        <v>1855</v>
      </c>
      <c r="B23" s="3034" t="s">
        <v>2831</v>
      </c>
      <c r="C23" s="2852">
        <f ca="1">ROUND((C18+C19+C20)*F23,0)</f>
        <v>397</v>
      </c>
      <c r="D23" s="468"/>
      <c r="E23" s="468"/>
      <c r="F23" s="2856">
        <f>'数据-取费表'!B37</f>
        <v>0.01</v>
      </c>
      <c r="G23" s="2812" t="s">
        <v>2429</v>
      </c>
      <c r="H23" s="2813"/>
      <c r="I23" s="2813"/>
      <c r="J23" s="2813"/>
      <c r="K23" s="2814"/>
      <c r="L23" s="2118"/>
      <c r="M23" s="2118"/>
      <c r="N23" s="2118"/>
    </row>
    <row r="24" spans="1:14" s="2116" customFormat="1" ht="13.5" customHeight="1">
      <c r="A24" s="2850" t="s">
        <v>1856</v>
      </c>
      <c r="B24" s="3034" t="s">
        <v>2834</v>
      </c>
      <c r="C24" s="2852">
        <f ca="1">ROUND(C6*F24,0)</f>
        <v>2357</v>
      </c>
      <c r="D24" s="475"/>
      <c r="E24" s="473"/>
      <c r="F24" s="2856">
        <f>'数据-取费表'!B38</f>
        <v>0.01</v>
      </c>
      <c r="G24" s="2821" t="s">
        <v>495</v>
      </c>
      <c r="H24" s="2815"/>
      <c r="I24" s="2815"/>
      <c r="J24" s="2815"/>
      <c r="K24" s="279"/>
      <c r="L24" s="2118"/>
      <c r="M24" s="2118"/>
      <c r="N24" s="2118"/>
    </row>
    <row r="25" spans="1:14" s="2119" customFormat="1" ht="13.5" customHeight="1">
      <c r="A25" s="2850" t="s">
        <v>1857</v>
      </c>
      <c r="B25" s="3034" t="s">
        <v>2832</v>
      </c>
      <c r="C25" s="467">
        <f>ROUND(F25/(1+'数据-取费表'!C42),4)</f>
        <v>2.9000000000000001E-2</v>
      </c>
      <c r="D25" s="462" t="s">
        <v>2826</v>
      </c>
      <c r="E25" s="469"/>
      <c r="F25" s="2856">
        <f>'数据-取费表'!B48+'数据-取费表'!B49</f>
        <v>3.0499999999999999E-2</v>
      </c>
      <c r="G25" s="2820" t="s">
        <v>2287</v>
      </c>
      <c r="H25" s="2813"/>
      <c r="I25" s="2813"/>
      <c r="J25" s="2813"/>
      <c r="K25" s="2814"/>
    </row>
    <row r="26" spans="1:14" s="2118" customFormat="1" ht="13.5" customHeight="1">
      <c r="A26" s="2850" t="s">
        <v>1858</v>
      </c>
      <c r="B26" s="3035" t="s">
        <v>2833</v>
      </c>
      <c r="C26" s="2857">
        <f ca="1">C28</f>
        <v>2015</v>
      </c>
      <c r="D26" s="467">
        <f ca="1">C27</f>
        <v>0.10009999999999999</v>
      </c>
      <c r="E26" s="469" t="s">
        <v>491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1853</v>
      </c>
      <c r="B27" s="2858" t="s">
        <v>492</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1854</v>
      </c>
      <c r="B28" s="2858" t="s">
        <v>2835</v>
      </c>
      <c r="C28" s="2860">
        <f ca="1">ROUND(IF('数据-取费表'!B22&lt;=1,(C18+C19+C20+C23+C24)*F26*'数据-取费表'!B24/2,(C18+C19+C20+C23+C24)*(POWER((1+F26),'数据-取费表'!B24/2)-1)),0)</f>
        <v>2015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1859</v>
      </c>
      <c r="B29" s="2851" t="s">
        <v>493</v>
      </c>
      <c r="C29" s="2852">
        <f ca="1">ROUND(C6*F29/(1+'数据-取费表'!C42),0)</f>
        <v>12344</v>
      </c>
      <c r="D29" s="468"/>
      <c r="E29" s="468"/>
      <c r="F29" s="3036">
        <f>'数据-取费表'!B41</f>
        <v>5.5000000000000007E-2</v>
      </c>
      <c r="G29" s="2821" t="s">
        <v>494</v>
      </c>
      <c r="H29" s="2813"/>
      <c r="I29" s="2813"/>
      <c r="J29" s="2813"/>
      <c r="K29" s="2814"/>
    </row>
    <row r="30" spans="1:14" s="2121" customFormat="1" ht="13.5" customHeight="1">
      <c r="A30" s="1635" t="s">
        <v>1860</v>
      </c>
      <c r="B30" s="2862" t="s">
        <v>496</v>
      </c>
      <c r="C30" s="2857">
        <f ca="1">C31</f>
        <v>56783</v>
      </c>
      <c r="D30" s="477">
        <f ca="1">C32</f>
        <v>0.12909999999999999</v>
      </c>
      <c r="E30" s="469" t="s">
        <v>491</v>
      </c>
      <c r="F30" s="471"/>
      <c r="G30" s="2820" t="s">
        <v>2964</v>
      </c>
      <c r="H30" s="2813"/>
      <c r="I30" s="2813"/>
      <c r="J30" s="2813"/>
      <c r="K30" s="2814"/>
    </row>
    <row r="31" spans="1:14" s="2120" customFormat="1" ht="13.5" customHeight="1">
      <c r="A31" s="803" t="s">
        <v>1853</v>
      </c>
      <c r="B31" s="2858"/>
      <c r="C31" s="450">
        <f ca="1">C18+C19+C20+C23+C24+C26+C29</f>
        <v>56783</v>
      </c>
      <c r="D31" s="472"/>
      <c r="E31" s="473"/>
      <c r="F31" s="474"/>
      <c r="G31" s="261"/>
      <c r="H31" s="2815"/>
      <c r="I31" s="2815"/>
      <c r="J31" s="2815"/>
      <c r="K31" s="279"/>
    </row>
    <row r="32" spans="1:14" s="2120" customFormat="1" ht="13.5" customHeight="1">
      <c r="A32" s="803" t="s">
        <v>1854</v>
      </c>
      <c r="B32" s="2858"/>
      <c r="C32" s="53">
        <f ca="1">ROUND(C25+D26,4)</f>
        <v>0.12909999999999999</v>
      </c>
      <c r="D32" s="472"/>
      <c r="E32" s="473"/>
      <c r="F32" s="474"/>
      <c r="G32" s="261"/>
      <c r="H32" s="2815"/>
      <c r="I32" s="2815"/>
      <c r="J32" s="2815"/>
      <c r="K32" s="279"/>
    </row>
    <row r="33" spans="1:11" s="2122" customFormat="1" ht="13.5" customHeight="1">
      <c r="A33" s="3033" t="s">
        <v>2830</v>
      </c>
      <c r="B33" s="3031" t="s">
        <v>2828</v>
      </c>
      <c r="C33" s="478">
        <f ca="1">C35</f>
        <v>3818</v>
      </c>
      <c r="D33" s="467">
        <f ca="1">C34</f>
        <v>9.2600000000000002E-2</v>
      </c>
      <c r="E33" s="469" t="s">
        <v>491</v>
      </c>
      <c r="F33" s="479">
        <f ca="1">IF(B1="",'数据-取费表'!Q16,INDIRECT("'数据-取费表'!q"&amp;$K$1))</f>
        <v>0.09</v>
      </c>
      <c r="G33" s="2816"/>
      <c r="H33" s="2817"/>
      <c r="I33" s="2817"/>
      <c r="J33" s="2817"/>
      <c r="K33" s="2818"/>
    </row>
    <row r="34" spans="1:11" s="2123" customFormat="1" ht="13.5" customHeight="1">
      <c r="A34" s="375" t="s">
        <v>1853</v>
      </c>
      <c r="B34" s="2863" t="s">
        <v>497</v>
      </c>
      <c r="C34" s="472">
        <f ca="1">ROUND((1+C25)*F33,4)</f>
        <v>9.2600000000000002E-2</v>
      </c>
      <c r="D34" s="472"/>
      <c r="E34" s="473"/>
      <c r="F34" s="480"/>
      <c r="G34" s="261" t="s">
        <v>2288</v>
      </c>
      <c r="H34" s="2815"/>
      <c r="I34" s="2815"/>
      <c r="J34" s="2815"/>
      <c r="K34" s="279"/>
    </row>
    <row r="35" spans="1:11" s="2123" customFormat="1" ht="13.5" customHeight="1" thickBot="1">
      <c r="A35" s="1636" t="s">
        <v>1854</v>
      </c>
      <c r="B35" s="3032" t="s">
        <v>2836</v>
      </c>
      <c r="C35" s="1628">
        <f ca="1">ROUND((C18+C19+C20+C23+C24)*F33,0)</f>
        <v>3818</v>
      </c>
      <c r="D35" s="1629"/>
      <c r="E35" s="2864"/>
      <c r="F35" s="1630"/>
      <c r="G35" s="2822"/>
      <c r="H35" s="2823"/>
      <c r="I35" s="2823"/>
      <c r="J35" s="2823"/>
      <c r="K35" s="2824"/>
    </row>
    <row r="36" spans="1:11" s="2085" customFormat="1" ht="13.5" customHeight="1" thickBot="1">
      <c r="A36" s="284" t="s">
        <v>1841</v>
      </c>
      <c r="B36" s="2826"/>
      <c r="C36" s="2865">
        <f ca="1">ROUND((C6-C30-C33)/(1+D30+D33),0)</f>
        <v>143285</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200" t="str">
        <f>项目基本情况!B1</f>
        <v>北京市通州区台湖镇YZ00-0405-0078、0079、0081地块R2二类居住用地出让国有建设用地使用权抵押价格预评估</v>
      </c>
      <c r="C37" s="3200"/>
      <c r="D37" s="3200"/>
      <c r="E37" s="3200"/>
      <c r="F37" s="3200"/>
      <c r="G37" s="3200"/>
      <c r="H37" s="3200"/>
      <c r="I37" s="3200"/>
    </row>
    <row r="38" spans="1:9">
      <c r="A38" s="1656"/>
      <c r="B38" s="1656"/>
    </row>
    <row r="39" spans="1:9">
      <c r="A39" s="1654" t="s">
        <v>1898</v>
      </c>
      <c r="B39" s="1654" t="s">
        <v>2044</v>
      </c>
    </row>
    <row r="40" spans="1:9">
      <c r="A40" s="1654"/>
      <c r="B40" s="1654" t="str">
        <f>项目基本情况!B5</f>
        <v>北京住总通和房地产开发有限公司</v>
      </c>
    </row>
    <row r="41" spans="1:9">
      <c r="A41" s="1654"/>
      <c r="B41" s="1654"/>
    </row>
    <row r="42" spans="1:9">
      <c r="A42" s="1654" t="s">
        <v>1898</v>
      </c>
      <c r="B42" s="1654" t="s">
        <v>2045</v>
      </c>
    </row>
    <row r="43" spans="1:9">
      <c r="A43" s="1654"/>
      <c r="B43" s="1654" t="s">
        <v>1900</v>
      </c>
    </row>
    <row r="44" spans="1:9">
      <c r="A44" s="1654"/>
      <c r="B44" s="1654"/>
    </row>
    <row r="45" spans="1:9">
      <c r="A45" s="1654" t="s">
        <v>1898</v>
      </c>
      <c r="B45" s="1654" t="s">
        <v>2043</v>
      </c>
    </row>
    <row r="46" spans="1:9" s="1654" customFormat="1" ht="12.75">
      <c r="B46" s="1654" t="str">
        <f>项目基本情况!K4</f>
        <v>欧红伟、崔锴</v>
      </c>
    </row>
    <row r="47" spans="1:9">
      <c r="A47" s="1654"/>
      <c r="B47" s="1654"/>
    </row>
    <row r="48" spans="1:9">
      <c r="A48" s="1654" t="s">
        <v>1898</v>
      </c>
      <c r="B48" s="1654" t="s">
        <v>2046</v>
      </c>
    </row>
    <row r="49" spans="2:2">
      <c r="B49" s="1654" t="str">
        <f>"康正预评字"&amp;项目基本情况!B2&amp;"号"</f>
        <v>康正预评字2018-1-0817-P01DYGJ1号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462</v>
      </c>
      <c r="B1" s="2809"/>
      <c r="C1" s="2104"/>
      <c r="D1" s="2104"/>
      <c r="E1" s="2104"/>
      <c r="F1" s="2104"/>
      <c r="G1" s="2104"/>
      <c r="H1" s="2104"/>
      <c r="I1" s="2104"/>
      <c r="J1" s="2104"/>
      <c r="K1" s="422">
        <f>MATCH(B1,'数据-取费表'!A6:A16,0)+5</f>
        <v>10</v>
      </c>
    </row>
    <row r="2" spans="1:41" s="2041" customFormat="1" ht="18" customHeight="1">
      <c r="A2" s="423" t="s">
        <v>463</v>
      </c>
      <c r="B2" s="424">
        <f ca="1">C32</f>
        <v>0</v>
      </c>
      <c r="C2" s="2104"/>
      <c r="D2" s="2104"/>
      <c r="E2" s="2104"/>
      <c r="F2" s="2104"/>
      <c r="G2" s="2104"/>
      <c r="H2" s="2104"/>
      <c r="I2" s="2104"/>
      <c r="J2" s="2104"/>
      <c r="K2" s="2104"/>
    </row>
    <row r="3" spans="1:41" s="2041" customFormat="1" ht="18" customHeight="1">
      <c r="A3" s="1379" t="s">
        <v>1681</v>
      </c>
      <c r="B3" s="425">
        <f ca="1">ROUND(B2*10000/IF(B1="",'数据-汇总表'!E3,INDIRECT("'数据-取费表'!K"&amp;$K$1)),0)</f>
        <v>0</v>
      </c>
      <c r="C3" s="2104"/>
      <c r="D3" s="2104"/>
      <c r="E3" s="2104"/>
      <c r="F3" s="2104"/>
      <c r="G3" s="2104"/>
      <c r="H3" s="2104"/>
      <c r="I3" s="2104"/>
      <c r="J3" s="2104"/>
      <c r="K3" s="2104"/>
    </row>
    <row r="4" spans="1:41" s="2041" customFormat="1" ht="18" customHeight="1">
      <c r="A4" s="426" t="s">
        <v>464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465</v>
      </c>
      <c r="D5" s="2104"/>
      <c r="E5" s="2104"/>
      <c r="F5" s="2104"/>
      <c r="G5" s="2104"/>
      <c r="H5" s="2104"/>
      <c r="I5" s="2104"/>
      <c r="J5" s="2104"/>
      <c r="K5" s="2104"/>
    </row>
    <row r="6" spans="1:41" s="2111" customFormat="1" ht="16.5" customHeight="1">
      <c r="A6" s="432" t="s">
        <v>2649</v>
      </c>
      <c r="B6" s="433"/>
      <c r="C6" s="1623">
        <f>SUM(C10:K10)</f>
        <v>0</v>
      </c>
      <c r="D6" s="2109"/>
      <c r="E6" s="2109"/>
      <c r="F6" s="2109"/>
      <c r="G6" s="2109"/>
      <c r="H6" s="2109"/>
      <c r="I6" s="2109"/>
      <c r="J6" s="2109"/>
      <c r="K6" s="2110"/>
    </row>
    <row r="7" spans="1:41" s="2113" customFormat="1" ht="15">
      <c r="A7" s="434" t="s">
        <v>466</v>
      </c>
      <c r="B7" s="435" t="s">
        <v>467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38" t="s">
        <v>468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470</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4" t="s">
        <v>466</v>
      </c>
      <c r="B12" s="444" t="s">
        <v>467</v>
      </c>
      <c r="C12" s="445" t="s">
        <v>471</v>
      </c>
      <c r="D12" s="446" t="s">
        <v>472</v>
      </c>
      <c r="E12" s="446" t="s">
        <v>473</v>
      </c>
      <c r="F12" s="446" t="s">
        <v>474</v>
      </c>
      <c r="G12" s="444"/>
      <c r="H12" s="447"/>
      <c r="I12" s="447"/>
      <c r="J12" s="447"/>
      <c r="K12" s="448"/>
    </row>
    <row r="13" spans="1:41" s="2116" customFormat="1" ht="13.5" customHeight="1">
      <c r="A13" s="1633" t="s">
        <v>1845</v>
      </c>
      <c r="B13" s="449" t="s">
        <v>475</v>
      </c>
      <c r="C13" s="450">
        <f ca="1">IF(B1="",'数据-取费表'!M16,INDIRECT("'数据-取费表'!M"&amp;$K$1)+INDIRECT("'数据-取费表'!t"&amp;$K$1))</f>
        <v>31624</v>
      </c>
      <c r="D13" s="451"/>
      <c r="E13" s="365"/>
      <c r="F13" s="452"/>
      <c r="G13" s="444"/>
      <c r="H13" s="447"/>
      <c r="I13" s="447"/>
      <c r="J13" s="447"/>
      <c r="K13" s="448"/>
    </row>
    <row r="14" spans="1:41" s="2116" customFormat="1" ht="13.5" customHeight="1">
      <c r="A14" s="1633" t="s">
        <v>1846</v>
      </c>
      <c r="B14" s="449" t="s">
        <v>476</v>
      </c>
      <c r="C14" s="53">
        <f ca="1">ROUND(C13*F14,0)</f>
        <v>949</v>
      </c>
      <c r="D14" s="451"/>
      <c r="E14" s="365"/>
      <c r="F14" s="453">
        <f>'数据-取费表'!B33</f>
        <v>0.03</v>
      </c>
      <c r="G14" s="444" t="s">
        <v>498</v>
      </c>
      <c r="H14" s="447"/>
      <c r="I14" s="447"/>
      <c r="J14" s="447"/>
      <c r="K14" s="448"/>
    </row>
    <row r="15" spans="1:41" s="2116" customFormat="1" ht="13.5" customHeight="1">
      <c r="A15" s="1633" t="s">
        <v>1847</v>
      </c>
      <c r="B15" s="449" t="s">
        <v>478</v>
      </c>
      <c r="C15" s="53">
        <f ca="1">ROUND(IF(B1="",SUMIF('数据-取费表'!C:C,"住宅",'数据-取费表'!M:M)*F15,IF(INDIRECT("'数据-取费表'!c"&amp;$K$1)="住宅",INDIRECT("'数据-取费表'!M"&amp;$K$1)*F15,0)),0)</f>
        <v>758</v>
      </c>
      <c r="D15" s="451"/>
      <c r="E15" s="365"/>
      <c r="F15" s="453">
        <f>'数据-取费表'!B34</f>
        <v>0.03</v>
      </c>
      <c r="G15" s="444" t="s">
        <v>498</v>
      </c>
      <c r="H15" s="447"/>
      <c r="I15" s="447"/>
      <c r="J15" s="447"/>
      <c r="K15" s="448"/>
    </row>
    <row r="16" spans="1:41" s="2117" customFormat="1" ht="13.5" customHeight="1">
      <c r="A16" s="1633" t="s">
        <v>1848</v>
      </c>
      <c r="B16" s="449" t="s">
        <v>480</v>
      </c>
      <c r="C16" s="53">
        <f ca="1">ROUND(D16*E16/10000,0)</f>
        <v>2498</v>
      </c>
      <c r="D16" s="451">
        <f ca="1">IF(B1="",'数据-汇总表'!E3,INDIRECT("'数据-取费表'!K"&amp;$K$1)+INDIRECT("'数据-取费表'!S"&amp;$K$1))</f>
        <v>124921.5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49" t="s">
        <v>481</v>
      </c>
      <c r="C17" s="454">
        <f ca="1">ROUND(C13*F17,0)</f>
        <v>474</v>
      </c>
      <c r="D17" s="455"/>
      <c r="E17" s="454"/>
      <c r="F17" s="456">
        <f>'数据-取费表'!B36</f>
        <v>1.4999999999999999E-2</v>
      </c>
      <c r="G17" s="444" t="s">
        <v>498</v>
      </c>
      <c r="H17" s="457"/>
      <c r="I17" s="457"/>
      <c r="J17" s="457"/>
      <c r="K17" s="458"/>
    </row>
    <row r="18" spans="1:14" s="2119" customFormat="1" ht="13.5" customHeight="1">
      <c r="A18" s="1634" t="s">
        <v>1850</v>
      </c>
      <c r="B18" s="459" t="s">
        <v>483</v>
      </c>
      <c r="C18" s="460">
        <f ca="1">SUM(C13:C17)</f>
        <v>36303</v>
      </c>
      <c r="D18" s="461"/>
      <c r="E18" s="462"/>
      <c r="F18" s="462"/>
      <c r="G18" s="1327" t="s">
        <v>2430</v>
      </c>
      <c r="H18" s="447"/>
      <c r="I18" s="447"/>
      <c r="J18" s="447"/>
      <c r="K18" s="448"/>
    </row>
    <row r="19" spans="1:14" s="2119" customFormat="1" ht="13.5" customHeight="1">
      <c r="A19" s="1634" t="s">
        <v>1851</v>
      </c>
      <c r="B19" s="459" t="s">
        <v>489</v>
      </c>
      <c r="C19" s="460">
        <f ca="1">ROUND(C18*F19,0)</f>
        <v>363</v>
      </c>
      <c r="D19" s="462"/>
      <c r="E19" s="462"/>
      <c r="F19" s="466">
        <f>'数据-取费表'!B37</f>
        <v>0.01</v>
      </c>
      <c r="G19" s="444" t="s">
        <v>499</v>
      </c>
      <c r="H19" s="447"/>
      <c r="I19" s="447"/>
      <c r="J19" s="447"/>
      <c r="K19" s="448"/>
      <c r="L19" s="2121"/>
      <c r="M19" s="2121"/>
      <c r="N19" s="2121"/>
    </row>
    <row r="20" spans="1:14" s="2119" customFormat="1" ht="13.5" customHeight="1">
      <c r="A20" s="1634" t="s">
        <v>1852</v>
      </c>
      <c r="B20" s="459" t="s">
        <v>500</v>
      </c>
      <c r="C20" s="3029">
        <f>F20</f>
        <v>0.01</v>
      </c>
      <c r="D20" s="469" t="s">
        <v>501</v>
      </c>
      <c r="E20" s="469"/>
      <c r="F20" s="486">
        <f>'数据-取费表'!B38</f>
        <v>0.01</v>
      </c>
      <c r="G20" s="1327" t="s">
        <v>502</v>
      </c>
      <c r="H20" s="447"/>
      <c r="I20" s="447"/>
      <c r="J20" s="447"/>
      <c r="K20" s="448"/>
      <c r="L20" s="2121"/>
      <c r="M20" s="2121"/>
      <c r="N20" s="2121"/>
    </row>
    <row r="21" spans="1:14" s="2121" customFormat="1" ht="13.5" customHeight="1">
      <c r="A21" s="1634" t="s">
        <v>1855</v>
      </c>
      <c r="B21" s="461" t="s">
        <v>490</v>
      </c>
      <c r="C21" s="470">
        <f ca="1">C22</f>
        <v>1742</v>
      </c>
      <c r="D21" s="467">
        <f ca="1">C23</f>
        <v>5.0000000000000001E-4</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1845</v>
      </c>
      <c r="B22" s="1328" t="s">
        <v>2433</v>
      </c>
      <c r="C22" s="487">
        <f ca="1">ROUND(IF('数据-取费表'!B22&lt;=1,(C18+C19)*F21*'数据-取费表'!B20/2,(C18+C19)*(POWER((1+F21),'数据-取费表'!B20/2)-1)),0)</f>
        <v>1742</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1846</v>
      </c>
      <c r="B23" s="1328" t="s">
        <v>504</v>
      </c>
      <c r="C23" s="488">
        <f ca="1">ROUND(IF('数据-取费表'!B22&lt;=1,F20*F21*'数据-取费表'!B20/2,F20*(POWER((1+F21),'数据-取费表'!B20/2)-1)),4)</f>
        <v>5.0000000000000001E-4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1856</v>
      </c>
      <c r="B24" s="3031" t="s">
        <v>2829</v>
      </c>
      <c r="C24" s="478">
        <f ca="1">C25</f>
        <v>3300</v>
      </c>
      <c r="D24" s="489">
        <f ca="1">C26</f>
        <v>8.9999999999999998E-4</v>
      </c>
      <c r="E24" s="469" t="s">
        <v>503</v>
      </c>
      <c r="F24" s="479">
        <f ca="1">IF(B1="",'数据-取费表'!Q16,INDIRECT("'数据-取费表'!q"&amp;$K$1))</f>
        <v>0.09</v>
      </c>
      <c r="G24" s="444"/>
      <c r="H24" s="447"/>
      <c r="I24" s="447"/>
      <c r="J24" s="447"/>
      <c r="K24" s="448"/>
    </row>
    <row r="25" spans="1:14" s="2120" customFormat="1" ht="13.5" customHeight="1">
      <c r="A25" s="1633" t="s">
        <v>1845</v>
      </c>
      <c r="B25" s="1328" t="s">
        <v>2434</v>
      </c>
      <c r="C25" s="490">
        <f ca="1">ROUND((C18+C19)*F24,0)</f>
        <v>3300</v>
      </c>
      <c r="D25" s="472"/>
      <c r="E25" s="473"/>
      <c r="F25" s="480"/>
      <c r="G25" s="1326" t="s">
        <v>2431</v>
      </c>
      <c r="H25" s="457"/>
      <c r="I25" s="457"/>
      <c r="J25" s="457"/>
      <c r="K25" s="458"/>
    </row>
    <row r="26" spans="1:14" s="2120" customFormat="1" ht="13.5" customHeight="1">
      <c r="A26" s="1633" t="s">
        <v>1846</v>
      </c>
      <c r="B26" s="1328" t="s">
        <v>505</v>
      </c>
      <c r="C26" s="491">
        <f ca="1">ROUND(F20*F24,4)</f>
        <v>8.9999999999999998E-4</v>
      </c>
      <c r="D26" s="472"/>
      <c r="E26" s="481"/>
      <c r="F26" s="480"/>
      <c r="G26" s="1326" t="s">
        <v>506</v>
      </c>
      <c r="H26" s="457"/>
      <c r="I26" s="457"/>
      <c r="J26" s="457"/>
      <c r="K26" s="458"/>
    </row>
    <row r="27" spans="1:14" s="2120" customFormat="1" ht="13.5" customHeight="1">
      <c r="A27" s="1637" t="s">
        <v>1864</v>
      </c>
      <c r="B27" s="459" t="s">
        <v>507</v>
      </c>
      <c r="C27" s="3030">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7" t="s">
        <v>1865</v>
      </c>
      <c r="B28" s="476" t="s">
        <v>508</v>
      </c>
      <c r="C28" s="470">
        <f ca="1">ROUND((C18+C19+C21+C24)/(1-C20-D21-D24-C27),0)</f>
        <v>44550</v>
      </c>
      <c r="D28" s="477"/>
      <c r="E28" s="469"/>
      <c r="F28" s="471"/>
      <c r="G28" s="1327" t="s">
        <v>2432</v>
      </c>
      <c r="H28" s="447"/>
      <c r="I28" s="447"/>
      <c r="J28" s="447"/>
      <c r="K28" s="448"/>
    </row>
    <row r="29" spans="1:14" s="2121"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1" customFormat="1" ht="13.5" customHeight="1">
      <c r="A30" s="443">
        <v>2</v>
      </c>
      <c r="B30" s="476" t="s">
        <v>510</v>
      </c>
      <c r="C30" s="497">
        <f ca="1">ROUND(C28*C29,0)</f>
        <v>0</v>
      </c>
      <c r="D30" s="493"/>
      <c r="E30" s="498"/>
      <c r="F30" s="499"/>
      <c r="G30" s="1329" t="s">
        <v>511</v>
      </c>
      <c r="H30" s="496"/>
      <c r="I30" s="496"/>
      <c r="J30" s="447"/>
      <c r="K30" s="448"/>
    </row>
    <row r="31" spans="1:14" s="2126" customFormat="1" ht="13.5" customHeight="1">
      <c r="A31" s="2482" t="s">
        <v>1862</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3"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C33" zoomScale="70" zoomScaleNormal="95" zoomScaleSheetLayoutView="70" workbookViewId="0">
      <selection activeCell="D73" sqref="D7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18" width="6.125" style="1337" customWidth="1"/>
    <col min="19" max="19" width="7.375" style="1337" customWidth="1"/>
    <col min="20" max="20" width="6.125" style="1337" customWidth="1"/>
    <col min="21" max="21" width="9" style="1337" customWidth="1"/>
    <col min="22" max="22" width="6.125" style="1337" customWidth="1"/>
    <col min="23" max="23" width="6.8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463</v>
      </c>
      <c r="B2" s="508">
        <f>F68</f>
        <v>157188</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12583</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46471</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3098</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517</v>
      </c>
      <c r="B6" s="513"/>
      <c r="C6" s="3388" t="s">
        <v>518</v>
      </c>
      <c r="D6" s="3389"/>
      <c r="E6" s="3388" t="s">
        <v>519</v>
      </c>
      <c r="F6" s="3389"/>
      <c r="G6" s="3388" t="s">
        <v>520</v>
      </c>
      <c r="H6" s="3389"/>
      <c r="I6" s="3388" t="s">
        <v>521</v>
      </c>
      <c r="J6" s="3389"/>
      <c r="K6" s="514" t="s">
        <v>522</v>
      </c>
      <c r="L6" s="2133"/>
      <c r="M6" s="2132"/>
      <c r="N6" s="2132"/>
      <c r="O6" s="2134"/>
      <c r="P6" s="3390" t="s">
        <v>523</v>
      </c>
      <c r="Q6" s="3391"/>
      <c r="R6" s="3376" t="s">
        <v>519</v>
      </c>
      <c r="S6" s="3377"/>
      <c r="T6" s="3376" t="s">
        <v>520</v>
      </c>
      <c r="U6" s="3377"/>
      <c r="V6" s="3396" t="s">
        <v>521</v>
      </c>
      <c r="W6" s="3396"/>
      <c r="X6" s="1567"/>
      <c r="Y6" s="3376" t="s">
        <v>523</v>
      </c>
      <c r="Z6" s="3377"/>
      <c r="AA6" s="3371" t="s">
        <v>519</v>
      </c>
      <c r="AB6" s="3372" t="s">
        <v>520</v>
      </c>
      <c r="AC6" s="3371" t="s">
        <v>521</v>
      </c>
    </row>
    <row r="7" spans="1:30" ht="52.5" customHeight="1">
      <c r="A7" s="515"/>
      <c r="B7" s="516"/>
      <c r="C7" s="3401" t="str">
        <f>项目基本情况!F10</f>
        <v>通州区台湖镇YZ00-0405-0078、0079、0081地块R2二类居住用地</v>
      </c>
      <c r="D7" s="3400"/>
      <c r="E7" s="3399" t="str">
        <f>Sheet1!A8</f>
        <v>北京市通州区通州新城0204街区TZ00-0024-0006、0007地块R2二类居住用地</v>
      </c>
      <c r="F7" s="3400"/>
      <c r="G7" s="3399" t="str">
        <f>Sheet1!A12</f>
        <v>顺义区天竺镇第22街区SY00-0022-6015、6016地块</v>
      </c>
      <c r="H7" s="3400"/>
      <c r="I7" s="3399" t="str">
        <f>Sheet1!A13</f>
        <v>通州区台湖镇北神树村B-30地块</v>
      </c>
      <c r="J7" s="3400"/>
      <c r="K7" s="514"/>
      <c r="L7" s="2133"/>
      <c r="M7" s="2132"/>
      <c r="N7" s="2132"/>
      <c r="O7" s="2134"/>
      <c r="P7" s="3392"/>
      <c r="Q7" s="3393"/>
      <c r="R7" s="3378"/>
      <c r="S7" s="3379"/>
      <c r="T7" s="3378"/>
      <c r="U7" s="3379"/>
      <c r="V7" s="3396"/>
      <c r="W7" s="3396"/>
      <c r="X7" s="1567"/>
      <c r="Y7" s="3378"/>
      <c r="Z7" s="3379"/>
      <c r="AA7" s="3372"/>
      <c r="AB7" s="3372"/>
      <c r="AC7" s="3372"/>
    </row>
    <row r="8" spans="1:30" ht="21" thickBot="1">
      <c r="A8" s="515"/>
      <c r="B8" s="516"/>
      <c r="C8" s="3402" t="s">
        <v>2924</v>
      </c>
      <c r="D8" s="3403"/>
      <c r="E8" s="3402" t="s">
        <v>2924</v>
      </c>
      <c r="F8" s="3403"/>
      <c r="G8" s="3397" t="s">
        <v>2924</v>
      </c>
      <c r="H8" s="3398"/>
      <c r="I8" s="3397" t="s">
        <v>2924</v>
      </c>
      <c r="J8" s="3398"/>
      <c r="K8" s="514" t="s">
        <v>524</v>
      </c>
      <c r="L8" s="2133"/>
      <c r="M8" s="2132"/>
      <c r="N8" s="2132"/>
      <c r="O8" s="2134"/>
      <c r="P8" s="3394"/>
      <c r="Q8" s="3395"/>
      <c r="R8" s="3378"/>
      <c r="S8" s="3379"/>
      <c r="T8" s="3380"/>
      <c r="U8" s="3381"/>
      <c r="V8" s="3396"/>
      <c r="W8" s="3396"/>
      <c r="X8" s="1567"/>
      <c r="Y8" s="3380"/>
      <c r="Z8" s="3381"/>
      <c r="AA8" s="3373"/>
      <c r="AB8" s="3373"/>
      <c r="AC8" s="3373"/>
    </row>
    <row r="9" spans="1:30" s="1220" customFormat="1" ht="21" thickBot="1">
      <c r="A9" s="2912"/>
      <c r="B9" s="2919" t="s">
        <v>525</v>
      </c>
      <c r="C9" s="2911">
        <f>'数据-取费表'!B2</f>
        <v>43427</v>
      </c>
      <c r="D9" s="520">
        <v>100</v>
      </c>
      <c r="E9" s="521" t="str">
        <f>Sheet1!H8</f>
        <v>2017-09-21</v>
      </c>
      <c r="F9" s="522">
        <f>SUMIF(72:72,YEAR(E9)&amp;"-"&amp;INT((MONTH(E9)+2)/3),73:73)</f>
        <v>95</v>
      </c>
      <c r="G9" s="523" t="str">
        <f>Sheet1!H12</f>
        <v>2017-04-27</v>
      </c>
      <c r="H9" s="520">
        <f>SUMIF(72:72,YEAR(G9)&amp;"-"&amp;INT((MONTH(G9)+2)/3),73:73)</f>
        <v>94</v>
      </c>
      <c r="I9" s="523" t="str">
        <f>Sheet1!H13</f>
        <v>2017-03-28</v>
      </c>
      <c r="J9" s="520">
        <f>SUMIF(72:72,YEAR(I9)&amp;"-"&amp;INT((MONTH(I9)+2)/3),73:73)</f>
        <v>93</v>
      </c>
      <c r="K9" s="524"/>
      <c r="L9" s="2135"/>
      <c r="M9" s="2132"/>
      <c r="N9" s="2132"/>
      <c r="O9" s="2136"/>
      <c r="P9" s="3374" t="s">
        <v>526</v>
      </c>
      <c r="Q9" s="3383"/>
      <c r="R9" s="1568" t="s">
        <v>8</v>
      </c>
      <c r="S9" s="1569">
        <f t="shared" ref="S9:S17" si="0">F9</f>
        <v>95</v>
      </c>
      <c r="T9" s="1568" t="s">
        <v>8</v>
      </c>
      <c r="U9" s="1569">
        <f t="shared" ref="U9:U17" si="1">H9</f>
        <v>94</v>
      </c>
      <c r="V9" s="1568" t="s">
        <v>8</v>
      </c>
      <c r="W9" s="1569">
        <f t="shared" ref="W9:W17" si="2">J9</f>
        <v>93</v>
      </c>
      <c r="X9" s="1570"/>
      <c r="Y9" s="3374" t="s">
        <v>526</v>
      </c>
      <c r="Z9" s="3375"/>
      <c r="AA9" s="1571">
        <f>D9/F9</f>
        <v>1.0526315789473684</v>
      </c>
      <c r="AB9" s="1571">
        <f>D9/H9</f>
        <v>1.0638297872340425</v>
      </c>
      <c r="AC9" s="1571">
        <f>D9/J9</f>
        <v>1.075268817204301</v>
      </c>
    </row>
    <row r="10" spans="1:30" s="1220" customFormat="1" ht="21" thickBot="1">
      <c r="A10" s="2913"/>
      <c r="B10" s="2920" t="s">
        <v>527</v>
      </c>
      <c r="C10" s="856" t="s">
        <v>528</v>
      </c>
      <c r="D10" s="520">
        <v>100</v>
      </c>
      <c r="E10" s="525" t="s">
        <v>3087</v>
      </c>
      <c r="F10" s="522">
        <f>SUMIF(75:75,E10,76:76)-SUMIF(75:75,C10,76:76)+100</f>
        <v>100</v>
      </c>
      <c r="G10" s="525" t="s">
        <v>3087</v>
      </c>
      <c r="H10" s="520">
        <f>SUMIF(75:75,G10,76:76)-SUMIF(75:75,C10,76:76)+100</f>
        <v>100</v>
      </c>
      <c r="I10" s="525" t="s">
        <v>3087</v>
      </c>
      <c r="J10" s="520">
        <f>SUMIF(75:75,I10,76:76)-SUMIF(75:75,C10,76:76)+100</f>
        <v>100</v>
      </c>
      <c r="K10" s="524"/>
      <c r="L10" s="2135"/>
      <c r="M10" s="2132"/>
      <c r="N10" s="2132"/>
      <c r="O10" s="2136"/>
      <c r="P10" s="3374" t="s">
        <v>529</v>
      </c>
      <c r="Q10" s="3375"/>
      <c r="R10" s="1568" t="s">
        <v>8</v>
      </c>
      <c r="S10" s="1569">
        <f t="shared" si="0"/>
        <v>100</v>
      </c>
      <c r="T10" s="1568" t="s">
        <v>8</v>
      </c>
      <c r="U10" s="1569">
        <f t="shared" si="1"/>
        <v>100</v>
      </c>
      <c r="V10" s="1568" t="s">
        <v>8</v>
      </c>
      <c r="W10" s="1569">
        <f t="shared" si="2"/>
        <v>100</v>
      </c>
      <c r="X10" s="1570"/>
      <c r="Y10" s="3374" t="s">
        <v>529</v>
      </c>
      <c r="Z10" s="3375"/>
      <c r="AA10" s="1571">
        <f t="shared" ref="AA10:AA47" si="3">D10/F10</f>
        <v>1</v>
      </c>
      <c r="AB10" s="1571">
        <f t="shared" ref="AB10:AB47" si="4">D10/H10</f>
        <v>1</v>
      </c>
      <c r="AC10" s="1571">
        <f t="shared" ref="AC10:AC47" si="5">D10/J10</f>
        <v>1</v>
      </c>
    </row>
    <row r="11" spans="1:30" s="1220" customFormat="1" ht="20.25">
      <c r="A11" s="2914"/>
      <c r="B11" s="2921" t="s">
        <v>2753</v>
      </c>
      <c r="C11" s="2908" t="s">
        <v>919</v>
      </c>
      <c r="D11" s="254">
        <v>100</v>
      </c>
      <c r="E11" s="2908" t="s">
        <v>919</v>
      </c>
      <c r="F11" s="254">
        <f>SUMIF(77:77,E11,78:78)-SUMIF(77:77,C11,78:78)+100</f>
        <v>100</v>
      </c>
      <c r="G11" s="2908" t="s">
        <v>919</v>
      </c>
      <c r="H11" s="254">
        <f>SUMIF(77:77,G11,78:78)-SUMIF(77:77,C11,78:78)+100</f>
        <v>100</v>
      </c>
      <c r="I11" s="2908" t="s">
        <v>919</v>
      </c>
      <c r="J11" s="254">
        <f>SUMIF(77:77,I11,78:78)-SUMIF(77:77,C11,78:78)+100</f>
        <v>100</v>
      </c>
      <c r="K11" s="524"/>
      <c r="L11" s="2135"/>
      <c r="M11" s="2132"/>
      <c r="N11" s="2132"/>
      <c r="O11" s="2137"/>
      <c r="P11" s="3382" t="s">
        <v>531</v>
      </c>
      <c r="Q11" s="1151" t="str">
        <f t="shared" ref="Q11:Q17" si="6">B11</f>
        <v>用途</v>
      </c>
      <c r="R11" s="1568" t="s">
        <v>8</v>
      </c>
      <c r="S11" s="1569">
        <f t="shared" si="0"/>
        <v>100</v>
      </c>
      <c r="T11" s="1568" t="s">
        <v>8</v>
      </c>
      <c r="U11" s="1569">
        <f t="shared" si="1"/>
        <v>100</v>
      </c>
      <c r="V11" s="1568" t="s">
        <v>8</v>
      </c>
      <c r="W11" s="1569">
        <f t="shared" si="2"/>
        <v>100</v>
      </c>
      <c r="X11" s="1570"/>
      <c r="Y11" s="3339" t="s">
        <v>532</v>
      </c>
      <c r="Z11" s="1150" t="str">
        <f t="shared" ref="Z11:Z17" si="7">Q11</f>
        <v>用途</v>
      </c>
      <c r="AA11" s="1571">
        <f t="shared" si="3"/>
        <v>1</v>
      </c>
      <c r="AB11" s="1571">
        <f t="shared" si="4"/>
        <v>1</v>
      </c>
      <c r="AC11" s="1571">
        <f t="shared" si="5"/>
        <v>1</v>
      </c>
    </row>
    <row r="12" spans="1:30" s="1338" customFormat="1" ht="27">
      <c r="A12" s="2915"/>
      <c r="B12" s="2920" t="s">
        <v>2754</v>
      </c>
      <c r="C12" s="910">
        <f>项目基本情况!D19</f>
        <v>69.37</v>
      </c>
      <c r="D12" s="255">
        <v>100</v>
      </c>
      <c r="E12" s="530" t="s">
        <v>3089</v>
      </c>
      <c r="F12" s="255">
        <f>ROUND(100/'数据-取费表'!G16,0)</f>
        <v>100</v>
      </c>
      <c r="G12" s="530" t="s">
        <v>3090</v>
      </c>
      <c r="H12" s="255">
        <f>ROUND(100/'数据-取费表'!G16,0)</f>
        <v>100</v>
      </c>
      <c r="I12" s="530" t="s">
        <v>3090</v>
      </c>
      <c r="J12" s="255">
        <f>ROUND(100/'数据-取费表'!G16,0)</f>
        <v>100</v>
      </c>
      <c r="K12" s="531"/>
      <c r="L12" s="2138"/>
      <c r="M12" s="2132"/>
      <c r="N12" s="2132"/>
      <c r="O12" s="2139"/>
      <c r="P12" s="3382"/>
      <c r="Q12" s="1151" t="str">
        <f t="shared" si="6"/>
        <v>土地使用年限（年）</v>
      </c>
      <c r="R12" s="1568" t="s">
        <v>8</v>
      </c>
      <c r="S12" s="1569">
        <f t="shared" si="0"/>
        <v>100</v>
      </c>
      <c r="T12" s="1568" t="s">
        <v>8</v>
      </c>
      <c r="U12" s="1569">
        <f t="shared" si="1"/>
        <v>100</v>
      </c>
      <c r="V12" s="1568" t="s">
        <v>8</v>
      </c>
      <c r="W12" s="1569">
        <f t="shared" si="2"/>
        <v>100</v>
      </c>
      <c r="X12" s="1570"/>
      <c r="Y12" s="3339"/>
      <c r="Z12" s="1150" t="str">
        <f t="shared" si="7"/>
        <v>土地使用年限（年）</v>
      </c>
      <c r="AA12" s="1571">
        <f t="shared" si="3"/>
        <v>1</v>
      </c>
      <c r="AB12" s="1571">
        <f t="shared" si="4"/>
        <v>1</v>
      </c>
      <c r="AC12" s="1571">
        <f t="shared" si="5"/>
        <v>1</v>
      </c>
    </row>
    <row r="13" spans="1:30" ht="20.25">
      <c r="A13" s="2916"/>
      <c r="B13" s="2920" t="s">
        <v>2755</v>
      </c>
      <c r="C13" s="534">
        <f>'数据-汇总表'!I4</f>
        <v>2.82</v>
      </c>
      <c r="D13" s="255">
        <v>100</v>
      </c>
      <c r="E13" s="533">
        <f>Sheet1!F8</f>
        <v>2.5</v>
      </c>
      <c r="F13" s="255">
        <f>LOOKUP(E13,82:82,83:83)-LOOKUP(C13,82:82,83:83)+100</f>
        <v>100</v>
      </c>
      <c r="G13" s="534">
        <f>Sheet1!F12</f>
        <v>2.5</v>
      </c>
      <c r="H13" s="255">
        <f>LOOKUP(G13,82:82,83:83)-LOOKUP(C13,82:82,83:83)+100</f>
        <v>100</v>
      </c>
      <c r="I13" s="533">
        <f>Sheet1!F13</f>
        <v>2.8</v>
      </c>
      <c r="J13" s="255">
        <f>LOOKUP(I13,82:82,83:83)-LOOKUP(C13,82:82,83:83)+100</f>
        <v>100</v>
      </c>
      <c r="K13" s="535">
        <v>1</v>
      </c>
      <c r="L13" s="2140"/>
      <c r="M13" s="2132"/>
      <c r="N13" s="2132"/>
      <c r="O13" s="2141"/>
      <c r="P13" s="3382"/>
      <c r="Q13" s="1151" t="str">
        <f t="shared" si="6"/>
        <v>容积率</v>
      </c>
      <c r="R13" s="1568" t="s">
        <v>8</v>
      </c>
      <c r="S13" s="1569">
        <f t="shared" si="0"/>
        <v>100</v>
      </c>
      <c r="T13" s="1568" t="s">
        <v>8</v>
      </c>
      <c r="U13" s="1569">
        <f t="shared" si="1"/>
        <v>100</v>
      </c>
      <c r="V13" s="1568" t="s">
        <v>8</v>
      </c>
      <c r="W13" s="1569">
        <f t="shared" si="2"/>
        <v>100</v>
      </c>
      <c r="X13" s="1570"/>
      <c r="Y13" s="3339"/>
      <c r="Z13" s="1150" t="str">
        <f t="shared" si="7"/>
        <v>容积率</v>
      </c>
      <c r="AA13" s="1571">
        <f t="shared" si="3"/>
        <v>1</v>
      </c>
      <c r="AB13" s="1571">
        <f t="shared" si="4"/>
        <v>1</v>
      </c>
      <c r="AC13" s="1571">
        <f t="shared" si="5"/>
        <v>1</v>
      </c>
    </row>
    <row r="14" spans="1:30" s="1220" customFormat="1" ht="27">
      <c r="A14" s="2913"/>
      <c r="B14" s="2922" t="s">
        <v>2756</v>
      </c>
      <c r="C14" s="2909" t="s">
        <v>3091</v>
      </c>
      <c r="D14" s="538">
        <v>100</v>
      </c>
      <c r="E14" s="1374" t="s">
        <v>3137</v>
      </c>
      <c r="F14" s="255">
        <f>SUMIF(84:84,E14,85:85)-SUMIF(84:84,C14,85:85)+100</f>
        <v>100</v>
      </c>
      <c r="G14" s="1374" t="s">
        <v>3137</v>
      </c>
      <c r="H14" s="255">
        <f>SUMIF(84:84,G14,85:85)-SUMIF(84:84,C14,85:85)+100</f>
        <v>100</v>
      </c>
      <c r="I14" s="1374" t="s">
        <v>3137</v>
      </c>
      <c r="J14" s="255">
        <f>SUMIF(84:84,I14,85:85)-SUMIF(84:84,C14,85:85)+100</f>
        <v>100</v>
      </c>
      <c r="K14" s="531"/>
      <c r="L14" s="2135"/>
      <c r="M14" s="2132"/>
      <c r="N14" s="2132"/>
      <c r="O14" s="2137"/>
      <c r="P14" s="3382"/>
      <c r="Q14" s="1151" t="str">
        <f t="shared" si="6"/>
        <v>配建</v>
      </c>
      <c r="R14" s="1568" t="s">
        <v>8</v>
      </c>
      <c r="S14" s="1569">
        <f t="shared" si="0"/>
        <v>100</v>
      </c>
      <c r="T14" s="1568" t="s">
        <v>8</v>
      </c>
      <c r="U14" s="1569">
        <f t="shared" si="1"/>
        <v>100</v>
      </c>
      <c r="V14" s="1568" t="s">
        <v>8</v>
      </c>
      <c r="W14" s="1569">
        <f t="shared" si="2"/>
        <v>100</v>
      </c>
      <c r="X14" s="1570"/>
      <c r="Y14" s="3339"/>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2"/>
      <c r="Q15" s="1151">
        <f t="shared" si="6"/>
        <v>111</v>
      </c>
      <c r="R15" s="1568" t="s">
        <v>8</v>
      </c>
      <c r="S15" s="1569">
        <f t="shared" si="0"/>
        <v>100</v>
      </c>
      <c r="T15" s="1568" t="s">
        <v>8</v>
      </c>
      <c r="U15" s="1569">
        <f t="shared" si="1"/>
        <v>100</v>
      </c>
      <c r="V15" s="1568" t="s">
        <v>8</v>
      </c>
      <c r="W15" s="1569">
        <f t="shared" si="2"/>
        <v>100</v>
      </c>
      <c r="X15" s="1570"/>
      <c r="Y15" s="3339"/>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2"/>
      <c r="Q16" s="1151">
        <f t="shared" si="6"/>
        <v>111</v>
      </c>
      <c r="R16" s="1568" t="s">
        <v>8</v>
      </c>
      <c r="S16" s="1569">
        <f t="shared" si="0"/>
        <v>100</v>
      </c>
      <c r="T16" s="1568" t="s">
        <v>8</v>
      </c>
      <c r="U16" s="1569">
        <f t="shared" si="1"/>
        <v>100</v>
      </c>
      <c r="V16" s="1568" t="s">
        <v>8</v>
      </c>
      <c r="W16" s="1569">
        <f t="shared" si="2"/>
        <v>100</v>
      </c>
      <c r="X16" s="1570"/>
      <c r="Y16" s="3339"/>
      <c r="Z16" s="1150">
        <f t="shared" si="7"/>
        <v>111</v>
      </c>
      <c r="AA16" s="1571">
        <f>D16/F16</f>
        <v>1</v>
      </c>
      <c r="AB16" s="1571">
        <f>D16/H16</f>
        <v>1</v>
      </c>
      <c r="AC16" s="1571">
        <f>D16/J16</f>
        <v>1</v>
      </c>
    </row>
    <row r="17" spans="1:29" ht="71.25">
      <c r="A17" s="2910" t="s">
        <v>2751</v>
      </c>
      <c r="B17" s="578" t="s">
        <v>294</v>
      </c>
      <c r="C17" s="548" t="str">
        <f>估价对象房地状况!C15</f>
        <v>估价对象周边居住社区成熟度一般，有次渠家园东里等居住社区。</v>
      </c>
      <c r="D17" s="551">
        <v>100</v>
      </c>
      <c r="E17" s="3500" t="s">
        <v>3203</v>
      </c>
      <c r="F17" s="549">
        <f>SUMIF(90:90,E18,91:91)-SUMIF(90:90,C18,91:91)+100</f>
        <v>102.5</v>
      </c>
      <c r="G17" s="3503" t="s">
        <v>3200</v>
      </c>
      <c r="H17" s="549">
        <f>SUMIF(90:90,G18,91:91)-SUMIF(90:90,C18,91:91)+100</f>
        <v>102.5</v>
      </c>
      <c r="I17" s="3500" t="s">
        <v>3204</v>
      </c>
      <c r="J17" s="549">
        <f>SUMIF(90:90,I18,91:91)-SUMIF(90:90,C18,91:91)+100</f>
        <v>102.5</v>
      </c>
      <c r="K17" s="535">
        <v>2.5</v>
      </c>
      <c r="L17" s="2142"/>
      <c r="M17" s="2132"/>
      <c r="N17" s="2132"/>
      <c r="O17" s="2141"/>
      <c r="P17" s="3384" t="s">
        <v>536</v>
      </c>
      <c r="Q17" s="1572" t="str">
        <f t="shared" si="6"/>
        <v>居住社区成熟度</v>
      </c>
      <c r="R17" s="1573" t="s">
        <v>8</v>
      </c>
      <c r="S17" s="1574">
        <f t="shared" si="0"/>
        <v>102.5</v>
      </c>
      <c r="T17" s="1573" t="s">
        <v>8</v>
      </c>
      <c r="U17" s="1574">
        <f t="shared" si="1"/>
        <v>102.5</v>
      </c>
      <c r="V17" s="1573" t="s">
        <v>8</v>
      </c>
      <c r="W17" s="1574">
        <f t="shared" si="2"/>
        <v>102.5</v>
      </c>
      <c r="X17" s="1567"/>
      <c r="Y17" s="3384" t="s">
        <v>536</v>
      </c>
      <c r="Z17" s="1575" t="str">
        <f t="shared" si="7"/>
        <v>居住社区成熟度</v>
      </c>
      <c r="AA17" s="1576">
        <f t="shared" si="3"/>
        <v>0.97560975609756095</v>
      </c>
      <c r="AB17" s="1576">
        <f t="shared" si="4"/>
        <v>0.97560975609756095</v>
      </c>
      <c r="AC17" s="1576">
        <f t="shared" si="5"/>
        <v>0.97560975609756095</v>
      </c>
    </row>
    <row r="18" spans="1:29" ht="20.25">
      <c r="A18" s="532"/>
      <c r="B18" s="553"/>
      <c r="C18" s="554" t="s">
        <v>3114</v>
      </c>
      <c r="D18" s="557"/>
      <c r="E18" s="558" t="s">
        <v>3112</v>
      </c>
      <c r="F18" s="555"/>
      <c r="G18" s="556" t="s">
        <v>3112</v>
      </c>
      <c r="H18" s="559"/>
      <c r="I18" s="558" t="s">
        <v>3112</v>
      </c>
      <c r="J18" s="555"/>
      <c r="K18" s="531"/>
      <c r="L18" s="2142"/>
      <c r="M18" s="2132"/>
      <c r="N18" s="2132"/>
      <c r="O18" s="2141"/>
      <c r="P18" s="3385"/>
      <c r="Q18" s="1572"/>
      <c r="R18" s="1573"/>
      <c r="S18" s="1574"/>
      <c r="T18" s="1573"/>
      <c r="U18" s="1574"/>
      <c r="V18" s="1573"/>
      <c r="W18" s="1574"/>
      <c r="X18" s="1567"/>
      <c r="Y18" s="3385"/>
      <c r="Z18" s="1575"/>
      <c r="AA18" s="1576">
        <v>1</v>
      </c>
      <c r="AB18" s="1576">
        <v>1</v>
      </c>
      <c r="AC18" s="1576">
        <v>1</v>
      </c>
    </row>
    <row r="19" spans="1:29" ht="71.25" hidden="1">
      <c r="A19" s="532"/>
      <c r="B19" s="560" t="s">
        <v>537</v>
      </c>
      <c r="C19" s="561" t="str">
        <f>估价对象房地状况!C16</f>
        <v>估价对象周边商业氛围一般，无大型购物中心，人流量一般，商业繁华度一般。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5"/>
      <c r="Q19" s="1572" t="str">
        <f>B19</f>
        <v>商业繁华度</v>
      </c>
      <c r="R19" s="1573" t="s">
        <v>8</v>
      </c>
      <c r="S19" s="1574">
        <f>F19</f>
        <v>100</v>
      </c>
      <c r="T19" s="1573" t="s">
        <v>8</v>
      </c>
      <c r="U19" s="1574">
        <f>H19</f>
        <v>100</v>
      </c>
      <c r="V19" s="1573" t="s">
        <v>8</v>
      </c>
      <c r="W19" s="1574">
        <f>J19</f>
        <v>100</v>
      </c>
      <c r="X19" s="1567"/>
      <c r="Y19" s="3385"/>
      <c r="Z19" s="1575" t="str">
        <f>Q19</f>
        <v>商业繁华度</v>
      </c>
      <c r="AA19" s="1576">
        <f t="shared" si="3"/>
        <v>1</v>
      </c>
      <c r="AB19" s="1576">
        <f t="shared" si="4"/>
        <v>1</v>
      </c>
      <c r="AC19" s="1576">
        <f t="shared" si="5"/>
        <v>1</v>
      </c>
    </row>
    <row r="20" spans="1:29" ht="20.25" hidden="1">
      <c r="A20" s="532"/>
      <c r="B20" s="566"/>
      <c r="C20" s="567" t="s">
        <v>3114</v>
      </c>
      <c r="D20" s="563"/>
      <c r="E20" s="569" t="s">
        <v>3114</v>
      </c>
      <c r="F20" s="559"/>
      <c r="G20" s="568" t="s">
        <v>3112</v>
      </c>
      <c r="H20" s="555"/>
      <c r="I20" s="569" t="s">
        <v>3114</v>
      </c>
      <c r="J20" s="555"/>
      <c r="K20" s="531"/>
      <c r="L20" s="2142"/>
      <c r="M20" s="2132"/>
      <c r="N20" s="2132"/>
      <c r="O20" s="2141"/>
      <c r="P20" s="3385"/>
      <c r="Q20" s="1572"/>
      <c r="R20" s="1573"/>
      <c r="S20" s="1574"/>
      <c r="T20" s="1573"/>
      <c r="U20" s="1574"/>
      <c r="V20" s="1573"/>
      <c r="W20" s="1574"/>
      <c r="X20" s="1567"/>
      <c r="Y20" s="3385"/>
      <c r="Z20" s="1575"/>
      <c r="AA20" s="1576">
        <v>1</v>
      </c>
      <c r="AB20" s="1576">
        <v>1</v>
      </c>
      <c r="AC20" s="1576">
        <v>1</v>
      </c>
    </row>
    <row r="21" spans="1:29" ht="71.25" hidden="1">
      <c r="A21" s="532"/>
      <c r="B21" s="560" t="s">
        <v>538</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85"/>
      <c r="Q22" s="1572"/>
      <c r="R22" s="1573"/>
      <c r="S22" s="1574"/>
      <c r="T22" s="1573"/>
      <c r="U22" s="1574"/>
      <c r="V22" s="1573"/>
      <c r="W22" s="1574"/>
      <c r="X22" s="1567"/>
      <c r="Y22" s="3385"/>
      <c r="Z22" s="1575"/>
      <c r="AA22" s="1576">
        <v>1</v>
      </c>
      <c r="AB22" s="1576">
        <v>1</v>
      </c>
      <c r="AC22" s="1576">
        <v>1</v>
      </c>
    </row>
    <row r="23" spans="1:29" ht="142.5">
      <c r="A23" s="532"/>
      <c r="B23" s="560" t="s">
        <v>539</v>
      </c>
      <c r="C23" s="573" t="str">
        <f>估价对象房地状况!C18</f>
        <v>估价对象周边道路状况一般，周边有820路;986路;郊87路等多条公交线路及地铁亦庄线经过，路网密集度一般，综合考虑估价对象交通便捷度较好。</v>
      </c>
      <c r="D23" s="563">
        <v>100</v>
      </c>
      <c r="E23" s="564" t="s">
        <v>3207</v>
      </c>
      <c r="F23" s="565">
        <f>SUMIF(96:96,E24,97:97)-SUMIF(96:96,C24,97:97)+100</f>
        <v>100</v>
      </c>
      <c r="G23" s="562" t="s">
        <v>3208</v>
      </c>
      <c r="H23" s="559">
        <f>SUMIF(96:96,G24,97:97)-SUMIF(96:96,C24,97:97)+100</f>
        <v>100</v>
      </c>
      <c r="I23" s="564" t="s">
        <v>3201</v>
      </c>
      <c r="J23" s="559">
        <f>SUMIF(96:96,I24,97:97)-SUMIF(96:96,C24,97:97)+100</f>
        <v>100</v>
      </c>
      <c r="K23" s="535">
        <v>2</v>
      </c>
      <c r="L23" s="2142"/>
      <c r="M23" s="2132"/>
      <c r="N23" s="2132"/>
      <c r="O23" s="2141"/>
      <c r="P23" s="3385"/>
      <c r="Q23" s="1572" t="str">
        <f>B23</f>
        <v>交通便捷度</v>
      </c>
      <c r="R23" s="1573" t="s">
        <v>8</v>
      </c>
      <c r="S23" s="1574">
        <f>F23</f>
        <v>100</v>
      </c>
      <c r="T23" s="1573" t="s">
        <v>8</v>
      </c>
      <c r="U23" s="1574">
        <f>H23</f>
        <v>100</v>
      </c>
      <c r="V23" s="1573" t="s">
        <v>8</v>
      </c>
      <c r="W23" s="1574">
        <f>J23</f>
        <v>100</v>
      </c>
      <c r="X23" s="1567"/>
      <c r="Y23" s="3385"/>
      <c r="Z23" s="1575" t="str">
        <f>Q23</f>
        <v>交通便捷度</v>
      </c>
      <c r="AA23" s="1576">
        <f t="shared" si="3"/>
        <v>1</v>
      </c>
      <c r="AB23" s="1576">
        <f t="shared" si="4"/>
        <v>1</v>
      </c>
      <c r="AC23" s="1576">
        <f t="shared" si="5"/>
        <v>1</v>
      </c>
    </row>
    <row r="24" spans="1:29" ht="20.25">
      <c r="A24" s="532"/>
      <c r="B24" s="578"/>
      <c r="C24" s="554" t="s">
        <v>3112</v>
      </c>
      <c r="D24" s="557"/>
      <c r="E24" s="558" t="s">
        <v>3112</v>
      </c>
      <c r="F24" s="555"/>
      <c r="G24" s="556" t="s">
        <v>3112</v>
      </c>
      <c r="H24" s="555"/>
      <c r="I24" s="558" t="s">
        <v>3112</v>
      </c>
      <c r="J24" s="555"/>
      <c r="K24" s="531"/>
      <c r="L24" s="2142"/>
      <c r="M24" s="2132"/>
      <c r="N24" s="2132"/>
      <c r="O24" s="2141"/>
      <c r="P24" s="3385"/>
      <c r="Q24" s="1572"/>
      <c r="R24" s="1573"/>
      <c r="S24" s="1574"/>
      <c r="T24" s="1573"/>
      <c r="U24" s="1574"/>
      <c r="V24" s="1573"/>
      <c r="W24" s="1574"/>
      <c r="X24" s="1567"/>
      <c r="Y24" s="3385"/>
      <c r="Z24" s="1575"/>
      <c r="AA24" s="1576">
        <v>1</v>
      </c>
      <c r="AB24" s="1576">
        <v>1</v>
      </c>
      <c r="AC24" s="1576">
        <v>1</v>
      </c>
    </row>
    <row r="25" spans="1:29" ht="40.5">
      <c r="A25" s="515"/>
      <c r="B25" s="259" t="s">
        <v>540</v>
      </c>
      <c r="C25" s="573">
        <f>估价对象房地状况!C19</f>
        <v>0</v>
      </c>
      <c r="D25" s="563">
        <v>100</v>
      </c>
      <c r="E25" s="3501" t="s">
        <v>3197</v>
      </c>
      <c r="F25" s="565">
        <f>SUMIF(98:98,E26,99:99)-SUMIF(98:98,C26,99:99)+100</f>
        <v>100</v>
      </c>
      <c r="G25" s="3502" t="s">
        <v>3198</v>
      </c>
      <c r="H25" s="559">
        <f>SUMIF(98:98,G26,99:99)-SUMIF(98:98,C26,99:99)+100</f>
        <v>99</v>
      </c>
      <c r="I25" s="3501" t="s">
        <v>3197</v>
      </c>
      <c r="J25" s="559">
        <f>SUMIF(98:98,I26,99:99)-SUMIF(98:98,C26,99:99)+100</f>
        <v>100</v>
      </c>
      <c r="K25" s="535">
        <v>1</v>
      </c>
      <c r="L25" s="2142"/>
      <c r="M25" s="2132"/>
      <c r="N25" s="2132"/>
      <c r="O25" s="2141"/>
      <c r="P25" s="3385"/>
      <c r="Q25" s="1572" t="str">
        <f t="shared" ref="Q25:Q39" si="8">B25</f>
        <v>区域土地利用方向</v>
      </c>
      <c r="R25" s="1573" t="s">
        <v>8</v>
      </c>
      <c r="S25" s="1574">
        <f>F25</f>
        <v>100</v>
      </c>
      <c r="T25" s="1573" t="s">
        <v>8</v>
      </c>
      <c r="U25" s="1574">
        <f>H25</f>
        <v>99</v>
      </c>
      <c r="V25" s="1573" t="s">
        <v>8</v>
      </c>
      <c r="W25" s="1574">
        <f>J25</f>
        <v>100</v>
      </c>
      <c r="X25" s="1567"/>
      <c r="Y25" s="3385"/>
      <c r="Z25" s="1575" t="str">
        <f>Q25</f>
        <v>区域土地利用方向</v>
      </c>
      <c r="AA25" s="1576">
        <f t="shared" si="3"/>
        <v>1</v>
      </c>
      <c r="AB25" s="1576">
        <f t="shared" si="4"/>
        <v>1.0101010101010102</v>
      </c>
      <c r="AC25" s="1576">
        <f t="shared" si="5"/>
        <v>1</v>
      </c>
    </row>
    <row r="26" spans="1:29" ht="20.25">
      <c r="A26" s="515"/>
      <c r="B26" s="1007"/>
      <c r="C26" s="554" t="s">
        <v>3112</v>
      </c>
      <c r="D26" s="557"/>
      <c r="E26" s="558" t="s">
        <v>3112</v>
      </c>
      <c r="F26" s="555"/>
      <c r="G26" s="556" t="s">
        <v>3114</v>
      </c>
      <c r="H26" s="555"/>
      <c r="I26" s="558" t="s">
        <v>3112</v>
      </c>
      <c r="J26" s="555"/>
      <c r="K26" s="531"/>
      <c r="L26" s="2142"/>
      <c r="M26" s="2132"/>
      <c r="N26" s="2132"/>
      <c r="O26" s="2141"/>
      <c r="P26" s="3385"/>
      <c r="Q26" s="1572"/>
      <c r="R26" s="1573"/>
      <c r="S26" s="1574"/>
      <c r="T26" s="1573"/>
      <c r="U26" s="1574"/>
      <c r="V26" s="1573"/>
      <c r="W26" s="1574"/>
      <c r="X26" s="1567"/>
      <c r="Y26" s="3385"/>
      <c r="Z26" s="1575"/>
      <c r="AA26" s="1576"/>
      <c r="AB26" s="1576"/>
      <c r="AC26" s="1576"/>
    </row>
    <row r="27" spans="1:29" ht="71.25">
      <c r="A27" s="515"/>
      <c r="B27" s="578" t="s">
        <v>541</v>
      </c>
      <c r="C27" s="561" t="str">
        <f>估价对象房地状况!C20</f>
        <v>估价对象周边2公里内有亦庄湿地公园等，综合考虑自然及人文环境一般。</v>
      </c>
      <c r="D27" s="563">
        <v>100</v>
      </c>
      <c r="E27" s="564" t="s">
        <v>3209</v>
      </c>
      <c r="F27" s="559">
        <f>SUMIF(100:100,E28,101:101)-SUMIF(100:100,C28,101:101)+100</f>
        <v>100</v>
      </c>
      <c r="G27" s="562" t="s">
        <v>3210</v>
      </c>
      <c r="H27" s="559">
        <f>SUMIF(100:100,G28,101:101)-SUMIF(100:100,C28,101:101)+100</f>
        <v>100</v>
      </c>
      <c r="I27" s="564" t="s">
        <v>3205</v>
      </c>
      <c r="J27" s="559">
        <f>SUMIF(100:100,I28,101:101)-SUMIF(100:100,C28,101:101)+100</f>
        <v>100</v>
      </c>
      <c r="K27" s="535">
        <v>1</v>
      </c>
      <c r="L27" s="2142"/>
      <c r="M27" s="2132"/>
      <c r="N27" s="2132"/>
      <c r="O27" s="2141"/>
      <c r="P27" s="3385"/>
      <c r="Q27" s="1572" t="str">
        <f t="shared" si="8"/>
        <v>自然及人文环境状况</v>
      </c>
      <c r="R27" s="1573" t="s">
        <v>8</v>
      </c>
      <c r="S27" s="1574">
        <f>F27</f>
        <v>100</v>
      </c>
      <c r="T27" s="1573" t="s">
        <v>8</v>
      </c>
      <c r="U27" s="1574">
        <f>H27</f>
        <v>100</v>
      </c>
      <c r="V27" s="1573" t="s">
        <v>8</v>
      </c>
      <c r="W27" s="1574">
        <f>J27</f>
        <v>100</v>
      </c>
      <c r="X27" s="1567"/>
      <c r="Y27" s="3385"/>
      <c r="Z27" s="1575" t="str">
        <f>Q27</f>
        <v>自然及人文环境状况</v>
      </c>
      <c r="AA27" s="1576">
        <f t="shared" si="3"/>
        <v>1</v>
      </c>
      <c r="AB27" s="1576">
        <f t="shared" si="4"/>
        <v>1</v>
      </c>
      <c r="AC27" s="1576">
        <f t="shared" si="5"/>
        <v>1</v>
      </c>
    </row>
    <row r="28" spans="1:29" ht="20.25">
      <c r="A28" s="515"/>
      <c r="B28" s="566"/>
      <c r="C28" s="554" t="s">
        <v>3114</v>
      </c>
      <c r="D28" s="557"/>
      <c r="E28" s="576" t="s">
        <v>3114</v>
      </c>
      <c r="F28" s="555"/>
      <c r="G28" s="554" t="s">
        <v>3114</v>
      </c>
      <c r="H28" s="555"/>
      <c r="I28" s="576" t="s">
        <v>3114</v>
      </c>
      <c r="J28" s="555"/>
      <c r="K28" s="531"/>
      <c r="L28" s="2142"/>
      <c r="M28" s="2132"/>
      <c r="N28" s="2132"/>
      <c r="O28" s="2141"/>
      <c r="P28" s="3385"/>
      <c r="Q28" s="1572"/>
      <c r="R28" s="1573"/>
      <c r="S28" s="1574"/>
      <c r="T28" s="1573"/>
      <c r="U28" s="1574"/>
      <c r="V28" s="1573"/>
      <c r="W28" s="1574"/>
      <c r="X28" s="1567"/>
      <c r="Y28" s="3385"/>
      <c r="Z28" s="1575"/>
      <c r="AA28" s="1576">
        <v>1</v>
      </c>
      <c r="AB28" s="1576">
        <v>1</v>
      </c>
      <c r="AC28" s="1576">
        <v>1</v>
      </c>
    </row>
    <row r="29" spans="1:29" s="1220" customFormat="1" ht="54">
      <c r="A29" s="577"/>
      <c r="B29" s="2591" t="s">
        <v>2546</v>
      </c>
      <c r="C29" s="573" t="str">
        <f>估价对象房地状况!C21</f>
        <v>估价对象所在区域公共配套设施齐备情况</v>
      </c>
      <c r="D29" s="563">
        <v>100</v>
      </c>
      <c r="E29" s="3501" t="s">
        <v>3199</v>
      </c>
      <c r="F29" s="559">
        <f>SUMIF(102:102,E30,103:103)-SUMIF(102:102,C30,103:103)+100</f>
        <v>101.5</v>
      </c>
      <c r="G29" s="3502" t="s">
        <v>3199</v>
      </c>
      <c r="H29" s="559">
        <f>SUMIF(102:102,G30,103:103)-SUMIF(102:102,C30,103:103)+100</f>
        <v>101.5</v>
      </c>
      <c r="I29" s="3501" t="s">
        <v>3206</v>
      </c>
      <c r="J29" s="559">
        <f>SUMIF(102:102,I30,103:103)-SUMIF(102:102,C30,103:103)+100</f>
        <v>101.5</v>
      </c>
      <c r="K29" s="535">
        <v>1.5</v>
      </c>
      <c r="L29" s="2135"/>
      <c r="M29" s="2132"/>
      <c r="N29" s="2132"/>
      <c r="O29" s="2137"/>
      <c r="P29" s="3385"/>
      <c r="Q29" s="1151" t="str">
        <f t="shared" si="8"/>
        <v>公共配套设施</v>
      </c>
      <c r="R29" s="1568" t="s">
        <v>8</v>
      </c>
      <c r="S29" s="1569">
        <f>F29</f>
        <v>101.5</v>
      </c>
      <c r="T29" s="1568" t="s">
        <v>8</v>
      </c>
      <c r="U29" s="1569">
        <f>H29</f>
        <v>101.5</v>
      </c>
      <c r="V29" s="1568" t="s">
        <v>8</v>
      </c>
      <c r="W29" s="1569">
        <f>J29</f>
        <v>101.5</v>
      </c>
      <c r="X29" s="1570"/>
      <c r="Y29" s="3385"/>
      <c r="Z29" s="1150" t="str">
        <f>Q29</f>
        <v>公共配套设施</v>
      </c>
      <c r="AA29" s="1576">
        <f>D29/F29</f>
        <v>0.98522167487684731</v>
      </c>
      <c r="AB29" s="1576">
        <f>D29/H29</f>
        <v>0.98522167487684731</v>
      </c>
      <c r="AC29" s="1576">
        <f>D29/J29</f>
        <v>0.98522167487684731</v>
      </c>
    </row>
    <row r="30" spans="1:29" s="1220" customFormat="1" ht="20.25">
      <c r="A30" s="577"/>
      <c r="B30" s="566"/>
      <c r="C30" s="579" t="s">
        <v>3114</v>
      </c>
      <c r="D30" s="557"/>
      <c r="E30" s="576" t="s">
        <v>3112</v>
      </c>
      <c r="F30" s="555"/>
      <c r="G30" s="554" t="s">
        <v>3112</v>
      </c>
      <c r="H30" s="555"/>
      <c r="I30" s="576" t="s">
        <v>3112</v>
      </c>
      <c r="J30" s="555"/>
      <c r="K30" s="531"/>
      <c r="L30" s="2135"/>
      <c r="M30" s="2132"/>
      <c r="N30" s="2132"/>
      <c r="O30" s="2137"/>
      <c r="P30" s="3385"/>
      <c r="Q30" s="1151"/>
      <c r="R30" s="1568"/>
      <c r="S30" s="1569"/>
      <c r="T30" s="1568"/>
      <c r="U30" s="1569"/>
      <c r="V30" s="1568"/>
      <c r="W30" s="1569"/>
      <c r="X30" s="1570"/>
      <c r="Y30" s="3385"/>
      <c r="Z30" s="1150"/>
      <c r="AA30" s="1576">
        <v>1</v>
      </c>
      <c r="AB30" s="1576">
        <v>1</v>
      </c>
      <c r="AC30" s="1576">
        <v>1</v>
      </c>
    </row>
    <row r="31" spans="1:29" s="1220" customFormat="1" ht="42.75">
      <c r="A31" s="577"/>
      <c r="B31" s="2591" t="s">
        <v>2547</v>
      </c>
      <c r="C31" s="573" t="str">
        <f>估价对象房地状况!C22</f>
        <v>估价对象所在区域基础设施水平达七通。</v>
      </c>
      <c r="D31" s="563">
        <v>100</v>
      </c>
      <c r="E31" s="3501" t="s">
        <v>3202</v>
      </c>
      <c r="F31" s="559">
        <f>SUMIF(104:104,E32,105:105)-SUMIF(104:104,C32,105:105)+100</f>
        <v>100</v>
      </c>
      <c r="G31" s="3502" t="s">
        <v>3202</v>
      </c>
      <c r="H31" s="559">
        <f>SUMIF(104:104,G32,105:105)-SUMIF(104:104,C32,105:105)+100</f>
        <v>100</v>
      </c>
      <c r="I31" s="3501" t="s">
        <v>3202</v>
      </c>
      <c r="J31" s="559">
        <f>SUMIF(104:104,I32,105:105)-SUMIF(104:104,C32,105:105)+100</f>
        <v>100</v>
      </c>
      <c r="K31" s="535">
        <v>2</v>
      </c>
      <c r="L31" s="2135"/>
      <c r="M31" s="2132"/>
      <c r="N31" s="2132"/>
      <c r="O31" s="2137"/>
      <c r="P31" s="3385"/>
      <c r="Q31" s="2578" t="str">
        <f t="shared" ref="Q31" si="9">B31</f>
        <v>基础设施水平</v>
      </c>
      <c r="R31" s="1568" t="s">
        <v>8</v>
      </c>
      <c r="S31" s="1569">
        <f>F31</f>
        <v>100</v>
      </c>
      <c r="T31" s="1568" t="s">
        <v>8</v>
      </c>
      <c r="U31" s="1569">
        <f>H31</f>
        <v>100</v>
      </c>
      <c r="V31" s="1568" t="s">
        <v>8</v>
      </c>
      <c r="W31" s="1569">
        <f>J31</f>
        <v>100</v>
      </c>
      <c r="X31" s="1570"/>
      <c r="Y31" s="3385"/>
      <c r="Z31" s="2575" t="str">
        <f>Q31</f>
        <v>基础设施水平</v>
      </c>
      <c r="AA31" s="1576">
        <f>D31/F31</f>
        <v>1</v>
      </c>
      <c r="AB31" s="1576">
        <f>D31/H31</f>
        <v>1</v>
      </c>
      <c r="AC31" s="1576">
        <f>D31/J31</f>
        <v>1</v>
      </c>
    </row>
    <row r="32" spans="1:29" s="1220" customFormat="1" ht="20.25">
      <c r="A32" s="577"/>
      <c r="B32" s="566"/>
      <c r="C32" s="579" t="s">
        <v>3092</v>
      </c>
      <c r="D32" s="557"/>
      <c r="E32" s="2592" t="s">
        <v>3092</v>
      </c>
      <c r="F32" s="555"/>
      <c r="G32" s="579" t="s">
        <v>3092</v>
      </c>
      <c r="H32" s="555"/>
      <c r="I32" s="579" t="s">
        <v>3092</v>
      </c>
      <c r="J32" s="555"/>
      <c r="K32" s="531"/>
      <c r="L32" s="2135"/>
      <c r="M32" s="2132"/>
      <c r="N32" s="2132"/>
      <c r="O32" s="2137"/>
      <c r="P32" s="3385"/>
      <c r="Q32" s="2578"/>
      <c r="R32" s="1568"/>
      <c r="S32" s="1569"/>
      <c r="T32" s="1568"/>
      <c r="U32" s="1569"/>
      <c r="V32" s="1568"/>
      <c r="W32" s="1569"/>
      <c r="X32" s="1570"/>
      <c r="Y32" s="3385"/>
      <c r="Z32" s="2575"/>
      <c r="AA32" s="1576">
        <v>1</v>
      </c>
      <c r="AB32" s="1576">
        <v>1</v>
      </c>
      <c r="AC32" s="1576">
        <v>1</v>
      </c>
    </row>
    <row r="33" spans="1:29" ht="21" thickBot="1">
      <c r="A33" s="532"/>
      <c r="B33" s="566" t="s">
        <v>543</v>
      </c>
      <c r="C33" s="3189" t="s">
        <v>3127</v>
      </c>
      <c r="D33" s="575">
        <v>100</v>
      </c>
      <c r="E33" s="583" t="s">
        <v>3127</v>
      </c>
      <c r="F33" s="540">
        <f>SUMIF(106:106,E33,107:107)-SUMIF(106:106,C33,107:107)+100</f>
        <v>100</v>
      </c>
      <c r="G33" s="580" t="s">
        <v>3127</v>
      </c>
      <c r="H33" s="540">
        <f>SUMIF(106:106,G33,107:107)-SUMIF(106:106,C33,107:107)+100</f>
        <v>100</v>
      </c>
      <c r="I33" s="580" t="s">
        <v>3127</v>
      </c>
      <c r="J33" s="540">
        <f>SUMIF(106:106,I33,107:107)-SUMIF(106:106,C33,107:107)+100</f>
        <v>100</v>
      </c>
      <c r="K33" s="535">
        <v>1</v>
      </c>
      <c r="L33" s="2142"/>
      <c r="M33" s="2132"/>
      <c r="N33" s="2132"/>
      <c r="O33" s="2141"/>
      <c r="P33" s="338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5"/>
      <c r="Z33" s="1575" t="str">
        <f t="shared" ref="Z33:Z47" si="13">Q33</f>
        <v>临街状况</v>
      </c>
      <c r="AA33" s="1576">
        <f t="shared" si="3"/>
        <v>1</v>
      </c>
      <c r="AB33" s="1576">
        <f t="shared" si="4"/>
        <v>1</v>
      </c>
      <c r="AC33" s="1576">
        <f t="shared" si="5"/>
        <v>1</v>
      </c>
    </row>
    <row r="34" spans="1:29" ht="27" hidden="1">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85"/>
      <c r="Q34" s="1572" t="str">
        <f t="shared" si="8"/>
        <v>毗邻道路的类型与等级</v>
      </c>
      <c r="R34" s="1573" t="s">
        <v>8</v>
      </c>
      <c r="S34" s="1574">
        <f t="shared" si="10"/>
        <v>100</v>
      </c>
      <c r="T34" s="1573" t="s">
        <v>8</v>
      </c>
      <c r="U34" s="1574">
        <f t="shared" si="11"/>
        <v>100</v>
      </c>
      <c r="V34" s="1573" t="s">
        <v>8</v>
      </c>
      <c r="W34" s="1574">
        <f t="shared" si="12"/>
        <v>100</v>
      </c>
      <c r="X34" s="1567"/>
      <c r="Y34" s="3385"/>
      <c r="Z34" s="1575" t="str">
        <f t="shared" si="13"/>
        <v>毗邻道路的类型与等级</v>
      </c>
      <c r="AA34" s="1576">
        <f t="shared" si="3"/>
        <v>1</v>
      </c>
      <c r="AB34" s="1576">
        <f t="shared" si="4"/>
        <v>1</v>
      </c>
      <c r="AC34" s="1576">
        <f t="shared" si="5"/>
        <v>1</v>
      </c>
    </row>
    <row r="35" spans="1:29" ht="21" hidden="1" thickBot="1">
      <c r="A35" s="532"/>
      <c r="B35" s="566"/>
      <c r="C35" s="554" t="s">
        <v>3098</v>
      </c>
      <c r="D35" s="557"/>
      <c r="E35" s="576" t="s">
        <v>3098</v>
      </c>
      <c r="F35" s="555"/>
      <c r="G35" s="554" t="s">
        <v>3098</v>
      </c>
      <c r="H35" s="555"/>
      <c r="I35" s="576" t="s">
        <v>3098</v>
      </c>
      <c r="J35" s="555"/>
      <c r="K35" s="581"/>
      <c r="L35" s="2142"/>
      <c r="M35" s="2132"/>
      <c r="N35" s="2132"/>
      <c r="O35" s="2141"/>
      <c r="P35" s="3385"/>
      <c r="Q35" s="1572"/>
      <c r="R35" s="1573"/>
      <c r="S35" s="1574"/>
      <c r="T35" s="1573"/>
      <c r="U35" s="1574"/>
      <c r="V35" s="1573"/>
      <c r="W35" s="1574"/>
      <c r="X35" s="1567"/>
      <c r="Y35" s="3385"/>
      <c r="Z35" s="1575"/>
      <c r="AA35" s="1576">
        <v>1</v>
      </c>
      <c r="AB35" s="1576">
        <v>1</v>
      </c>
      <c r="AC35" s="1576">
        <v>1</v>
      </c>
    </row>
    <row r="36" spans="1:29" ht="20.25" hidden="1">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5"/>
      <c r="Q37" s="1572">
        <f t="shared" si="8"/>
        <v>111</v>
      </c>
      <c r="R37" s="1573" t="s">
        <v>8</v>
      </c>
      <c r="S37" s="1574">
        <f t="shared" si="10"/>
        <v>100</v>
      </c>
      <c r="T37" s="1573" t="s">
        <v>8</v>
      </c>
      <c r="U37" s="1574">
        <f t="shared" si="11"/>
        <v>100</v>
      </c>
      <c r="V37" s="1573" t="s">
        <v>8</v>
      </c>
      <c r="W37" s="1574">
        <f t="shared" si="12"/>
        <v>100</v>
      </c>
      <c r="X37" s="1567"/>
      <c r="Y37" s="338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6" t="s">
        <v>546</v>
      </c>
      <c r="Q38" s="1572">
        <f t="shared" si="8"/>
        <v>111</v>
      </c>
      <c r="R38" s="1573" t="s">
        <v>8</v>
      </c>
      <c r="S38" s="1574">
        <f t="shared" si="10"/>
        <v>100</v>
      </c>
      <c r="T38" s="1573" t="s">
        <v>8</v>
      </c>
      <c r="U38" s="1574">
        <f t="shared" si="11"/>
        <v>100</v>
      </c>
      <c r="V38" s="1573" t="s">
        <v>8</v>
      </c>
      <c r="W38" s="1574">
        <f t="shared" si="12"/>
        <v>100</v>
      </c>
      <c r="X38" s="1567"/>
      <c r="Y38" s="3387" t="s">
        <v>546</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7"/>
      <c r="Q39" s="1572">
        <f t="shared" si="8"/>
        <v>111</v>
      </c>
      <c r="R39" s="1577" t="s">
        <v>8</v>
      </c>
      <c r="S39" s="1578">
        <f t="shared" si="10"/>
        <v>100</v>
      </c>
      <c r="T39" s="1577" t="s">
        <v>8</v>
      </c>
      <c r="U39" s="1578">
        <f t="shared" si="11"/>
        <v>100</v>
      </c>
      <c r="V39" s="1577" t="s">
        <v>8</v>
      </c>
      <c r="W39" s="1578">
        <f t="shared" si="12"/>
        <v>100</v>
      </c>
      <c r="X39" s="1579"/>
      <c r="Y39" s="3387"/>
      <c r="Z39" s="1580">
        <f t="shared" si="13"/>
        <v>111</v>
      </c>
      <c r="AA39" s="1576">
        <f t="shared" si="3"/>
        <v>1</v>
      </c>
      <c r="AB39" s="1576">
        <f t="shared" si="4"/>
        <v>1</v>
      </c>
      <c r="AC39" s="1576">
        <f t="shared" si="5"/>
        <v>1</v>
      </c>
    </row>
    <row r="40" spans="1:29" ht="20.25">
      <c r="A40" s="2907" t="s">
        <v>2752</v>
      </c>
      <c r="B40" s="595" t="s">
        <v>548</v>
      </c>
      <c r="C40" s="596">
        <f>'数据-基础表'!A3</f>
        <v>33824.92</v>
      </c>
      <c r="D40" s="597">
        <v>100</v>
      </c>
      <c r="E40" s="596">
        <f>Sheet1!D8</f>
        <v>65516.160000000003</v>
      </c>
      <c r="F40" s="597">
        <f>LOOKUP(E40,119:119,120:120)-LOOKUP(C40,119:119,120:120)+100</f>
        <v>102</v>
      </c>
      <c r="G40" s="596">
        <f>Sheet1!D12</f>
        <v>45104.74</v>
      </c>
      <c r="H40" s="597">
        <f>LOOKUP(G40,119:119,120:120)-LOOKUP(C40,119:119,120:120)+100</f>
        <v>101</v>
      </c>
      <c r="I40" s="598">
        <f>Sheet1!D13</f>
        <v>32878.9</v>
      </c>
      <c r="J40" s="597">
        <f>LOOKUP(I40,119:119,120:120)-LOOKUP(C40,119:119,120:120)+100</f>
        <v>100</v>
      </c>
      <c r="K40" s="581"/>
      <c r="L40" s="2142"/>
      <c r="M40" s="2132"/>
      <c r="N40" s="2132"/>
      <c r="O40" s="2141"/>
      <c r="P40" s="3387"/>
      <c r="Q40" s="1572" t="str">
        <f>B40</f>
        <v>宗地面积</v>
      </c>
      <c r="R40" s="1573" t="s">
        <v>8</v>
      </c>
      <c r="S40" s="1574">
        <f t="shared" si="10"/>
        <v>102</v>
      </c>
      <c r="T40" s="1573" t="s">
        <v>8</v>
      </c>
      <c r="U40" s="1574">
        <f t="shared" si="11"/>
        <v>101</v>
      </c>
      <c r="V40" s="1573" t="s">
        <v>8</v>
      </c>
      <c r="W40" s="1574">
        <f t="shared" si="12"/>
        <v>100</v>
      </c>
      <c r="X40" s="1567"/>
      <c r="Y40" s="3387"/>
      <c r="Z40" s="1575" t="str">
        <f t="shared" si="13"/>
        <v>宗地面积</v>
      </c>
      <c r="AA40" s="1576">
        <f t="shared" si="3"/>
        <v>0.98039215686274506</v>
      </c>
      <c r="AB40" s="1576">
        <f t="shared" si="4"/>
        <v>0.99009900990099009</v>
      </c>
      <c r="AC40" s="1576">
        <f t="shared" si="5"/>
        <v>1</v>
      </c>
    </row>
    <row r="41" spans="1:29" ht="20.25">
      <c r="A41" s="594"/>
      <c r="B41" s="527" t="s">
        <v>549</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2</v>
      </c>
      <c r="L41" s="2142"/>
      <c r="M41" s="2132"/>
      <c r="N41" s="2132"/>
      <c r="O41" s="2141"/>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4"/>
      <c r="B42" s="527" t="s">
        <v>550</v>
      </c>
      <c r="C42" s="599" t="s">
        <v>3106</v>
      </c>
      <c r="D42" s="540">
        <v>100</v>
      </c>
      <c r="E42" s="599" t="s">
        <v>3106</v>
      </c>
      <c r="F42" s="540">
        <f>SUMIF(123:123,E42,124:124)-SUMIF(123:123,C42,124:124)+100</f>
        <v>100</v>
      </c>
      <c r="G42" s="599" t="s">
        <v>3106</v>
      </c>
      <c r="H42" s="540">
        <f>SUMIF(123:123,G42,124:124)-SUMIF(123:123,C42,124:124)+100</f>
        <v>100</v>
      </c>
      <c r="I42" s="599" t="s">
        <v>3106</v>
      </c>
      <c r="J42" s="540">
        <f>SUMIF(123:123,I42,124:124)-SUMIF(123:123,C42,124:124)+100</f>
        <v>100</v>
      </c>
      <c r="K42" s="584">
        <v>1</v>
      </c>
      <c r="L42" s="2142"/>
      <c r="M42" s="2132"/>
      <c r="N42" s="2132"/>
      <c r="O42" s="2141"/>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20" customFormat="1" ht="20.25">
      <c r="A43" s="600"/>
      <c r="B43" s="1895" t="s">
        <v>2422</v>
      </c>
      <c r="C43" s="601" t="s">
        <v>3121</v>
      </c>
      <c r="D43" s="255">
        <v>100</v>
      </c>
      <c r="E43" s="601" t="s">
        <v>3121</v>
      </c>
      <c r="F43" s="540">
        <f>SUMIF(125:125,E43,126:126)-SUMIF(125:125,C43,126:126)+100</f>
        <v>100</v>
      </c>
      <c r="G43" s="601" t="s">
        <v>3121</v>
      </c>
      <c r="H43" s="540">
        <f>SUMIF(125:125,G43,126:126)-SUMIF(125:125,C43,126:126)+100</f>
        <v>100</v>
      </c>
      <c r="I43" s="601" t="s">
        <v>3118</v>
      </c>
      <c r="J43" s="540">
        <f>SUMIF(125:125,I43,126:126)-SUMIF(125:125,C43,126:126)+100</f>
        <v>106</v>
      </c>
      <c r="K43" s="584">
        <v>2</v>
      </c>
      <c r="L43" s="2135"/>
      <c r="M43" s="2132"/>
      <c r="N43" s="2132"/>
      <c r="O43" s="2137"/>
      <c r="P43" s="3387"/>
      <c r="Q43" s="1572" t="str">
        <f t="shared" si="14"/>
        <v>宗地开发程度</v>
      </c>
      <c r="R43" s="1568" t="s">
        <v>8</v>
      </c>
      <c r="S43" s="1569">
        <f t="shared" si="10"/>
        <v>100</v>
      </c>
      <c r="T43" s="1568" t="s">
        <v>8</v>
      </c>
      <c r="U43" s="1569">
        <f t="shared" si="11"/>
        <v>100</v>
      </c>
      <c r="V43" s="1568" t="s">
        <v>8</v>
      </c>
      <c r="W43" s="1569">
        <f t="shared" si="12"/>
        <v>106</v>
      </c>
      <c r="X43" s="1570"/>
      <c r="Y43" s="3387"/>
      <c r="Z43" s="1150" t="str">
        <f t="shared" si="13"/>
        <v>宗地开发程度</v>
      </c>
      <c r="AA43" s="1571">
        <f t="shared" si="3"/>
        <v>1</v>
      </c>
      <c r="AB43" s="1571">
        <f t="shared" si="4"/>
        <v>1</v>
      </c>
      <c r="AC43" s="1571">
        <f t="shared" si="5"/>
        <v>0.94339622641509435</v>
      </c>
    </row>
    <row r="44" spans="1:29" ht="21" thickBot="1">
      <c r="A44" s="594"/>
      <c r="B44" s="527" t="s">
        <v>551</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2</v>
      </c>
      <c r="L44" s="2142"/>
      <c r="M44" s="2132"/>
      <c r="N44" s="2132"/>
      <c r="O44" s="2141"/>
      <c r="P44" s="3387" t="s">
        <v>546</v>
      </c>
      <c r="Q44" s="1572" t="str">
        <f t="shared" si="14"/>
        <v>工程地质条件</v>
      </c>
      <c r="R44" s="1573" t="s">
        <v>8</v>
      </c>
      <c r="S44" s="1574">
        <f t="shared" si="10"/>
        <v>100</v>
      </c>
      <c r="T44" s="1573" t="s">
        <v>8</v>
      </c>
      <c r="U44" s="1574">
        <f t="shared" si="11"/>
        <v>100</v>
      </c>
      <c r="V44" s="1573" t="s">
        <v>8</v>
      </c>
      <c r="W44" s="1574">
        <f t="shared" si="12"/>
        <v>100</v>
      </c>
      <c r="X44" s="1567"/>
      <c r="Y44" s="3387" t="s">
        <v>546</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7"/>
      <c r="Q45" s="1572">
        <f t="shared" si="14"/>
        <v>111</v>
      </c>
      <c r="R45" s="1573" t="s">
        <v>8</v>
      </c>
      <c r="S45" s="1574">
        <f t="shared" si="10"/>
        <v>100</v>
      </c>
      <c r="T45" s="1573" t="s">
        <v>8</v>
      </c>
      <c r="U45" s="1574">
        <f t="shared" si="11"/>
        <v>100</v>
      </c>
      <c r="V45" s="1573" t="s">
        <v>8</v>
      </c>
      <c r="W45" s="1574">
        <f t="shared" si="12"/>
        <v>100</v>
      </c>
      <c r="X45" s="1567"/>
      <c r="Y45" s="338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7"/>
      <c r="Q46" s="1572">
        <f t="shared" si="14"/>
        <v>111</v>
      </c>
      <c r="R46" s="1573" t="s">
        <v>8</v>
      </c>
      <c r="S46" s="1574">
        <f t="shared" si="10"/>
        <v>100</v>
      </c>
      <c r="T46" s="1573" t="s">
        <v>8</v>
      </c>
      <c r="U46" s="1574">
        <f t="shared" si="11"/>
        <v>100</v>
      </c>
      <c r="V46" s="1573" t="s">
        <v>8</v>
      </c>
      <c r="W46" s="1574">
        <f t="shared" si="12"/>
        <v>100</v>
      </c>
      <c r="X46" s="1567"/>
      <c r="Y46" s="3387"/>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7"/>
      <c r="Q47" s="1572">
        <f t="shared" si="14"/>
        <v>111</v>
      </c>
      <c r="R47" s="1577" t="s">
        <v>8</v>
      </c>
      <c r="S47" s="1578">
        <f t="shared" si="10"/>
        <v>100</v>
      </c>
      <c r="T47" s="1577" t="s">
        <v>8</v>
      </c>
      <c r="U47" s="1578">
        <f t="shared" si="11"/>
        <v>100</v>
      </c>
      <c r="V47" s="1577" t="s">
        <v>8</v>
      </c>
      <c r="W47" s="1578">
        <f t="shared" si="12"/>
        <v>100</v>
      </c>
      <c r="X47" s="1579"/>
      <c r="Y47" s="3387"/>
      <c r="Z47" s="1580">
        <f t="shared" si="13"/>
        <v>111</v>
      </c>
      <c r="AA47" s="1576">
        <f t="shared" si="3"/>
        <v>1</v>
      </c>
      <c r="AB47" s="1576">
        <f t="shared" si="4"/>
        <v>1</v>
      </c>
      <c r="AC47" s="1576">
        <f t="shared" si="5"/>
        <v>1</v>
      </c>
    </row>
    <row r="48" spans="1:29" ht="20.25">
      <c r="A48" s="607" t="s">
        <v>552</v>
      </c>
      <c r="B48" s="608" t="s">
        <v>3126</v>
      </c>
      <c r="C48" s="609" t="s">
        <v>1</v>
      </c>
      <c r="D48" s="610"/>
      <c r="E48" s="611">
        <f>ROUND(Sheet1!$K$8,0)</f>
        <v>14653</v>
      </c>
      <c r="F48" s="612"/>
      <c r="G48" s="613">
        <f>ROUND(Sheet1!$K$12,0)</f>
        <v>17218</v>
      </c>
      <c r="H48" s="614"/>
      <c r="I48" s="611">
        <f>ROUND(Sheet1!$K$13,0)</f>
        <v>17163</v>
      </c>
      <c r="J48" s="614"/>
      <c r="K48" s="1340"/>
      <c r="L48" s="2144"/>
      <c r="M48" s="2132"/>
      <c r="N48" s="2132"/>
      <c r="O48" s="2145"/>
      <c r="P48" s="3382" t="str">
        <f>A48</f>
        <v>成交单价</v>
      </c>
      <c r="Q48" s="3382"/>
      <c r="R48" s="3396">
        <f>E48</f>
        <v>14653</v>
      </c>
      <c r="S48" s="3396"/>
      <c r="T48" s="3396">
        <f>G48</f>
        <v>17218</v>
      </c>
      <c r="U48" s="3396"/>
      <c r="V48" s="3396">
        <f>I48</f>
        <v>17163</v>
      </c>
      <c r="W48" s="3396"/>
      <c r="X48" s="1559"/>
      <c r="Y48" s="1581"/>
      <c r="Z48" s="1559"/>
      <c r="AA48" s="1559"/>
      <c r="AB48" s="1559"/>
      <c r="AC48" s="1559"/>
    </row>
    <row r="49" spans="1:29" ht="21" thickBot="1">
      <c r="A49" s="615" t="s">
        <v>2690</v>
      </c>
      <c r="B49" s="616"/>
      <c r="C49" s="617">
        <f>R50</f>
        <v>16293</v>
      </c>
      <c r="D49" s="618"/>
      <c r="E49" s="617">
        <f>R49</f>
        <v>14535</v>
      </c>
      <c r="F49" s="619"/>
      <c r="G49" s="620">
        <f>T49</f>
        <v>17608</v>
      </c>
      <c r="H49" s="618"/>
      <c r="I49" s="617">
        <f>V49</f>
        <v>16735</v>
      </c>
      <c r="J49" s="618"/>
      <c r="K49" s="1341"/>
      <c r="L49" s="2144"/>
      <c r="M49" s="2132"/>
      <c r="N49" s="2132"/>
      <c r="O49" s="2145"/>
      <c r="P49" s="3382" t="str">
        <f>A49</f>
        <v>比较价格（元/平方米）</v>
      </c>
      <c r="Q49" s="3382"/>
      <c r="R49" s="3407">
        <f>ROUND(PRODUCT(R48,AA9:AA47),0)</f>
        <v>14535</v>
      </c>
      <c r="S49" s="3407"/>
      <c r="T49" s="3407">
        <f>ROUND(PRODUCT(T48,AB9:AB47),0)</f>
        <v>17608</v>
      </c>
      <c r="U49" s="3407"/>
      <c r="V49" s="3407">
        <f>ROUND(PRODUCT(V48,AC9:AC47),0)</f>
        <v>16735</v>
      </c>
      <c r="W49" s="3407"/>
      <c r="X49" s="1559"/>
      <c r="Y49" s="1559"/>
      <c r="Z49" s="1559"/>
      <c r="AA49" s="1559"/>
      <c r="AB49" s="1559"/>
      <c r="AC49" s="1559"/>
    </row>
    <row r="50" spans="1:29" ht="21" thickBot="1">
      <c r="A50" s="621" t="s">
        <v>2926</v>
      </c>
      <c r="B50" s="622"/>
      <c r="C50" s="623">
        <f>R50</f>
        <v>16293</v>
      </c>
      <c r="D50" s="623"/>
      <c r="E50" s="623"/>
      <c r="F50" s="623"/>
      <c r="G50" s="623"/>
      <c r="H50" s="623"/>
      <c r="I50" s="623"/>
      <c r="J50" s="623"/>
      <c r="K50" s="1342"/>
      <c r="L50" s="2144"/>
      <c r="M50" s="2132"/>
      <c r="N50" s="2132"/>
      <c r="O50" s="2145"/>
      <c r="P50" s="3404" t="str">
        <f>A50</f>
        <v>估价对象XX用房的比较价格（楼面单价，元/平方米）</v>
      </c>
      <c r="Q50" s="3405"/>
      <c r="R50" s="3406">
        <f>ROUND(AVERAGE(R49:V49),0)</f>
        <v>16293</v>
      </c>
      <c r="S50" s="3406"/>
      <c r="T50" s="3406"/>
      <c r="U50" s="3406"/>
      <c r="V50" s="3406"/>
      <c r="W50" s="340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f>IF(E48&lt;E49,E49/E48-1,E48/E49-1)</f>
        <v>8.118335053319603E-3</v>
      </c>
      <c r="F53" s="627" t="str">
        <f>IF(OR(E53&gt;=0.3,E53&lt;=-0.3),"超过30%","")</f>
        <v/>
      </c>
      <c r="G53" s="626">
        <f>IF(G48&lt;G49,G49/G48-1,G48/G49-1)</f>
        <v>2.2650714368684044E-2</v>
      </c>
      <c r="H53" s="627" t="str">
        <f>IF(OR(G53&gt;=0.3,G53&lt;=-0.3),"超过30%","")</f>
        <v/>
      </c>
      <c r="I53" s="626">
        <f>IF(I48&lt;I49,I49/I48-1,I48/I49-1)</f>
        <v>2.5575141918135591E-2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f>IF(E49&lt;G49,G49/E49-1,E49/G49-1)</f>
        <v>0.21142070863433093</v>
      </c>
      <c r="F54" s="627" t="str">
        <f>IF(OR(E54&gt;=0.2,E54&lt;=-0.2),"超过20%","")</f>
        <v>超过20%</v>
      </c>
      <c r="G54" s="626">
        <f>IF(G49&lt;I49,I49/G49-1,G49/I49-1)</f>
        <v>5.2166118912458925E-2</v>
      </c>
      <c r="H54" s="627" t="str">
        <f>IF(OR(G54&gt;=0.2,G54&lt;=-0.2),"超过20%","")</f>
        <v/>
      </c>
      <c r="I54" s="626">
        <f>IF(I49&lt;E49,E49/I49-1,I49/E49-1)</f>
        <v>0.15135878912968703</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f>IF(E48&lt;G48,G48/E48-1,E48/G48-1)</f>
        <v>0.17504947792260972</v>
      </c>
      <c r="F55" s="627" t="str">
        <f>IF(OR(E55&gt;=0.3,E55&lt;=-0.3),"超过30%","")</f>
        <v/>
      </c>
      <c r="G55" s="626">
        <f>IF(G48&lt;I48,I48/G48-1,G48/I48-1)</f>
        <v>3.2045679659733484E-3</v>
      </c>
      <c r="H55" s="627" t="str">
        <f>IF(OR(G55&gt;=0.3,G55&lt;=-0.3),"超过30%","")</f>
        <v/>
      </c>
      <c r="I55" s="626">
        <f>IF(I48&lt;E48,E48/I48-1,I48/E48-1)</f>
        <v>0.17129598034532179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556</v>
      </c>
      <c r="B57" s="630" t="s">
        <v>557</v>
      </c>
      <c r="C57" s="1560" t="s">
        <v>1721</v>
      </c>
      <c r="D57" s="2227" t="s">
        <v>2291</v>
      </c>
      <c r="E57" s="631" t="s">
        <v>558</v>
      </c>
      <c r="F57" s="632" t="s">
        <v>559</v>
      </c>
      <c r="G57" s="3366" t="s">
        <v>2279</v>
      </c>
      <c r="H57" s="3367"/>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560</v>
      </c>
      <c r="B58" s="634">
        <f>C50</f>
        <v>16293</v>
      </c>
      <c r="C58" s="635">
        <v>1</v>
      </c>
      <c r="D58" s="2228">
        <v>1</v>
      </c>
      <c r="E58" s="635">
        <f>'数据-汇总表'!E8+'数据-汇总表'!E9</f>
        <v>95293</v>
      </c>
      <c r="F58" s="636">
        <f t="shared" ref="F58:F67" si="15">ROUND(B58*E58/10000,0)</f>
        <v>155261</v>
      </c>
      <c r="G58" s="3368"/>
      <c r="H58" s="336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561</v>
      </c>
      <c r="B59" s="638">
        <f>ROUND($C$50*C59*D59,0)</f>
        <v>2444</v>
      </c>
      <c r="C59" s="378">
        <f t="shared" ref="C59:C67" si="16">IF($C$57="北京市系数",I59,J59)</f>
        <v>0.6</v>
      </c>
      <c r="D59" s="2229">
        <v>0.25</v>
      </c>
      <c r="E59" s="639">
        <f>'数据-汇总表'!G20</f>
        <v>0</v>
      </c>
      <c r="F59" s="636">
        <f t="shared" si="15"/>
        <v>0</v>
      </c>
      <c r="G59" s="3370" t="s">
        <v>2280</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562</v>
      </c>
      <c r="B60" s="638">
        <f t="shared" ref="B60:B67" si="17">ROUND($C$50*C60*D60,0)</f>
        <v>1222</v>
      </c>
      <c r="C60" s="378">
        <f t="shared" si="16"/>
        <v>0.3</v>
      </c>
      <c r="D60" s="2229">
        <v>0.25</v>
      </c>
      <c r="E60" s="639">
        <v>0</v>
      </c>
      <c r="F60" s="636">
        <f t="shared" si="15"/>
        <v>0</v>
      </c>
      <c r="G60" s="3370"/>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563</v>
      </c>
      <c r="B61" s="638">
        <f t="shared" si="17"/>
        <v>815</v>
      </c>
      <c r="C61" s="378">
        <f t="shared" si="16"/>
        <v>0.2</v>
      </c>
      <c r="D61" s="2229">
        <v>0.25</v>
      </c>
      <c r="E61" s="639">
        <v>0</v>
      </c>
      <c r="F61" s="636">
        <f t="shared" si="15"/>
        <v>0</v>
      </c>
      <c r="G61" s="3370"/>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564</v>
      </c>
      <c r="B62" s="638">
        <f t="shared" si="17"/>
        <v>815</v>
      </c>
      <c r="C62" s="378">
        <f t="shared" si="16"/>
        <v>0.2</v>
      </c>
      <c r="D62" s="2229">
        <v>0.25</v>
      </c>
      <c r="E62" s="639">
        <v>0</v>
      </c>
      <c r="F62" s="636">
        <f t="shared" si="15"/>
        <v>0</v>
      </c>
      <c r="G62" s="3370"/>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815</v>
      </c>
      <c r="C63" s="378">
        <f t="shared" si="16"/>
        <v>0.2</v>
      </c>
      <c r="D63" s="2229">
        <v>0.25</v>
      </c>
      <c r="E63" s="641">
        <f>'数据-汇总表'!E11</f>
        <v>0</v>
      </c>
      <c r="F63" s="636">
        <f t="shared" si="15"/>
        <v>0</v>
      </c>
      <c r="G63" s="1945" t="s">
        <v>2281</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565</v>
      </c>
      <c r="B64" s="638">
        <f t="shared" si="17"/>
        <v>815</v>
      </c>
      <c r="C64" s="378">
        <f t="shared" si="16"/>
        <v>0.2</v>
      </c>
      <c r="D64" s="2229">
        <v>0.25</v>
      </c>
      <c r="E64" s="641">
        <f>'数据-汇总表'!E12</f>
        <v>5719</v>
      </c>
      <c r="F64" s="636">
        <f t="shared" si="15"/>
        <v>466</v>
      </c>
      <c r="G64" s="1946" t="s">
        <v>919</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566</v>
      </c>
      <c r="B65" s="638">
        <f t="shared" si="17"/>
        <v>611</v>
      </c>
      <c r="C65" s="378">
        <f t="shared" si="16"/>
        <v>0.15</v>
      </c>
      <c r="D65" s="2229">
        <v>0.25</v>
      </c>
      <c r="E65" s="641">
        <f>'数据-汇总表'!E13</f>
        <v>23909.5</v>
      </c>
      <c r="F65" s="636">
        <f t="shared" si="15"/>
        <v>1461</v>
      </c>
      <c r="G65" s="1946" t="s">
        <v>919</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567</v>
      </c>
      <c r="B66" s="638">
        <f t="shared" si="17"/>
        <v>611</v>
      </c>
      <c r="C66" s="378">
        <f t="shared" si="16"/>
        <v>0.15</v>
      </c>
      <c r="D66" s="2229">
        <v>0.25</v>
      </c>
      <c r="E66" s="641">
        <f>'数据-汇总表'!E14</f>
        <v>0</v>
      </c>
      <c r="F66" s="636">
        <f t="shared" si="15"/>
        <v>0</v>
      </c>
      <c r="G66" s="1945" t="s">
        <v>2280</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568</v>
      </c>
      <c r="B67" s="638">
        <f t="shared" si="17"/>
        <v>611</v>
      </c>
      <c r="C67" s="378">
        <f t="shared" si="16"/>
        <v>0.15</v>
      </c>
      <c r="D67" s="2229">
        <v>0.25</v>
      </c>
      <c r="E67" s="641">
        <f>'数据-汇总表'!E15</f>
        <v>0</v>
      </c>
      <c r="F67" s="636">
        <f t="shared" si="15"/>
        <v>0</v>
      </c>
      <c r="G67" s="1947" t="s">
        <v>2281</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569</v>
      </c>
      <c r="B68" s="643" t="s">
        <v>17</v>
      </c>
      <c r="C68" s="643" t="s">
        <v>18</v>
      </c>
      <c r="D68" s="643" t="s">
        <v>2292</v>
      </c>
      <c r="E68" s="643">
        <f>IF(B48="楼面地价",SUM(E58:E67),'数据-汇总表'!D3)</f>
        <v>124921.5</v>
      </c>
      <c r="F68" s="644">
        <f>IF(B48="楼面地价",SUM(F58:F67),ROUND(C50*E68/10000,0))</f>
        <v>157188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919</v>
      </c>
      <c r="B73" s="479" t="str">
        <f>"北京市平均增长率"&amp;TEXT(SUMIF(基准地价!N21:N25,A73,基准地价!P21:P25),"0.00%")</f>
        <v>北京市平均增长率2.41%</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527</v>
      </c>
      <c r="B75" s="648"/>
      <c r="C75" s="660" t="s">
        <v>572</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573</v>
      </c>
      <c r="B77" s="665" t="s">
        <v>530</v>
      </c>
      <c r="C77" s="3186" t="s">
        <v>3088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533</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534</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7" t="s">
        <v>3093</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535</v>
      </c>
      <c r="B90" s="665" t="s">
        <v>574</v>
      </c>
      <c r="C90" s="703" t="s">
        <v>575</v>
      </c>
      <c r="D90" s="703" t="s">
        <v>576</v>
      </c>
      <c r="E90" s="703" t="s">
        <v>577</v>
      </c>
      <c r="F90" s="703" t="s">
        <v>578</v>
      </c>
      <c r="G90" s="703" t="s">
        <v>579</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97.5</v>
      </c>
      <c r="E91" s="679">
        <f>D91-$K17</f>
        <v>95</v>
      </c>
      <c r="F91" s="679">
        <f>E91-$K17</f>
        <v>92.5</v>
      </c>
      <c r="G91" s="679">
        <f>F91-$K17</f>
        <v>90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580</v>
      </c>
      <c r="C92" s="708" t="s">
        <v>575</v>
      </c>
      <c r="D92" s="708" t="s">
        <v>576</v>
      </c>
      <c r="E92" s="708" t="s">
        <v>577</v>
      </c>
      <c r="F92" s="708" t="s">
        <v>578</v>
      </c>
      <c r="G92" s="708" t="s">
        <v>579</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581</v>
      </c>
      <c r="C94" s="708" t="s">
        <v>575</v>
      </c>
      <c r="D94" s="708" t="s">
        <v>576</v>
      </c>
      <c r="E94" s="708" t="s">
        <v>577</v>
      </c>
      <c r="F94" s="708" t="s">
        <v>578</v>
      </c>
      <c r="G94" s="708" t="s">
        <v>579</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582</v>
      </c>
      <c r="C96" s="708" t="s">
        <v>575</v>
      </c>
      <c r="D96" s="708" t="s">
        <v>576</v>
      </c>
      <c r="E96" s="708" t="s">
        <v>577</v>
      </c>
      <c r="F96" s="708" t="s">
        <v>578</v>
      </c>
      <c r="G96" s="708" t="s">
        <v>579</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575</v>
      </c>
      <c r="D102" s="703" t="s">
        <v>576</v>
      </c>
      <c r="E102" s="703" t="s">
        <v>577</v>
      </c>
      <c r="F102" s="703" t="s">
        <v>578</v>
      </c>
      <c r="G102" s="703" t="s">
        <v>579</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98.5</v>
      </c>
      <c r="E103" s="679">
        <f>D103-$K29</f>
        <v>97</v>
      </c>
      <c r="F103" s="679">
        <f>E103-$K29</f>
        <v>95.5</v>
      </c>
      <c r="G103" s="679">
        <f>F103-$K29</f>
        <v>94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544</v>
      </c>
      <c r="C108" s="3187" t="s">
        <v>3094</v>
      </c>
      <c r="D108" s="3187" t="s">
        <v>3095</v>
      </c>
      <c r="E108" s="3187" t="s">
        <v>3096</v>
      </c>
      <c r="F108" s="3187" t="s">
        <v>3097</v>
      </c>
      <c r="G108" s="3187" t="s">
        <v>3099</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545</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547</v>
      </c>
      <c r="B118" s="665" t="s">
        <v>589</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590</v>
      </c>
      <c r="C121" s="3188" t="s">
        <v>3100</v>
      </c>
      <c r="D121" s="3188" t="s">
        <v>3102</v>
      </c>
      <c r="E121" s="3188" t="s">
        <v>3103</v>
      </c>
      <c r="F121" s="3188" t="s">
        <v>3104</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591</v>
      </c>
      <c r="C123" s="3187" t="s">
        <v>3105</v>
      </c>
      <c r="D123" s="3187" t="s">
        <v>3107</v>
      </c>
      <c r="E123" s="3187" t="s">
        <v>3108</v>
      </c>
      <c r="F123" s="3188" t="s">
        <v>3109</v>
      </c>
      <c r="G123" s="3188" t="s">
        <v>3110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5" t="s">
        <v>3092</v>
      </c>
      <c r="D125" s="1375" t="s">
        <v>3118</v>
      </c>
      <c r="E125" s="1375" t="s">
        <v>3119</v>
      </c>
      <c r="F125" s="1375" t="s">
        <v>3120</v>
      </c>
      <c r="G125" s="1375" t="s">
        <v>3121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592</v>
      </c>
      <c r="C127" s="1375" t="s">
        <v>3111</v>
      </c>
      <c r="D127" s="1375" t="s">
        <v>3113</v>
      </c>
      <c r="E127" s="1375" t="s">
        <v>3115</v>
      </c>
      <c r="F127" s="1375" t="s">
        <v>3116</v>
      </c>
      <c r="G127" s="1375" t="s">
        <v>3117</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517</v>
      </c>
      <c r="B6" s="513"/>
      <c r="C6" s="3388" t="s">
        <v>518</v>
      </c>
      <c r="D6" s="3389"/>
      <c r="E6" s="3413" t="s">
        <v>519</v>
      </c>
      <c r="F6" s="3414"/>
      <c r="G6" s="3388" t="s">
        <v>520</v>
      </c>
      <c r="H6" s="3389"/>
      <c r="I6" s="3388" t="s">
        <v>521</v>
      </c>
      <c r="J6" s="3389"/>
      <c r="K6" s="514" t="s">
        <v>522</v>
      </c>
      <c r="L6" s="2133"/>
      <c r="M6" s="2134"/>
      <c r="N6" s="2134"/>
      <c r="O6" s="2134"/>
      <c r="P6" s="3390" t="s">
        <v>523</v>
      </c>
      <c r="Q6" s="3391"/>
      <c r="R6" s="3376" t="s">
        <v>519</v>
      </c>
      <c r="S6" s="3377"/>
      <c r="T6" s="3376" t="s">
        <v>520</v>
      </c>
      <c r="U6" s="3377"/>
      <c r="V6" s="3396" t="s">
        <v>521</v>
      </c>
      <c r="W6" s="3396"/>
      <c r="X6" s="1567"/>
      <c r="Y6" s="3376" t="s">
        <v>523</v>
      </c>
      <c r="Z6" s="3377"/>
      <c r="AA6" s="3371" t="s">
        <v>519</v>
      </c>
      <c r="AB6" s="3372" t="s">
        <v>520</v>
      </c>
      <c r="AC6" s="3371" t="s">
        <v>521</v>
      </c>
    </row>
    <row r="7" spans="1:29" ht="15">
      <c r="A7" s="515"/>
      <c r="B7" s="516"/>
      <c r="C7" s="3399" t="s">
        <v>2920</v>
      </c>
      <c r="D7" s="3400"/>
      <c r="E7" s="3415" t="s">
        <v>2921</v>
      </c>
      <c r="F7" s="3416"/>
      <c r="G7" s="3399" t="s">
        <v>2922</v>
      </c>
      <c r="H7" s="3400"/>
      <c r="I7" s="3399" t="s">
        <v>2923</v>
      </c>
      <c r="J7" s="3400"/>
      <c r="K7" s="514"/>
      <c r="L7" s="2133"/>
      <c r="M7" s="2134"/>
      <c r="N7" s="2134"/>
      <c r="O7" s="2134"/>
      <c r="P7" s="3392"/>
      <c r="Q7" s="3393"/>
      <c r="R7" s="3378"/>
      <c r="S7" s="3379"/>
      <c r="T7" s="3378"/>
      <c r="U7" s="3379"/>
      <c r="V7" s="3396"/>
      <c r="W7" s="3396"/>
      <c r="X7" s="1567"/>
      <c r="Y7" s="3378"/>
      <c r="Z7" s="3379"/>
      <c r="AA7" s="3372"/>
      <c r="AB7" s="3372"/>
      <c r="AC7" s="3372"/>
    </row>
    <row r="8" spans="1:29" ht="15.75" thickBot="1">
      <c r="A8" s="517"/>
      <c r="B8" s="518"/>
      <c r="C8" s="3397" t="s">
        <v>2924</v>
      </c>
      <c r="D8" s="3398"/>
      <c r="E8" s="3417" t="s">
        <v>2924</v>
      </c>
      <c r="F8" s="3418"/>
      <c r="G8" s="3397" t="s">
        <v>2924</v>
      </c>
      <c r="H8" s="3398"/>
      <c r="I8" s="3397" t="s">
        <v>2924</v>
      </c>
      <c r="J8" s="3398"/>
      <c r="K8" s="514" t="s">
        <v>524</v>
      </c>
      <c r="L8" s="2133"/>
      <c r="M8" s="2134"/>
      <c r="N8" s="2134"/>
      <c r="O8" s="2134"/>
      <c r="P8" s="3394"/>
      <c r="Q8" s="3395"/>
      <c r="R8" s="3378"/>
      <c r="S8" s="3379"/>
      <c r="T8" s="3380"/>
      <c r="U8" s="3381"/>
      <c r="V8" s="3396"/>
      <c r="W8" s="3396"/>
      <c r="X8" s="1567"/>
      <c r="Y8" s="3380"/>
      <c r="Z8" s="3381"/>
      <c r="AA8" s="3373"/>
      <c r="AB8" s="3373"/>
      <c r="AC8" s="3373"/>
    </row>
    <row r="9" spans="1:29" s="1220" customFormat="1" ht="15.75" thickBot="1">
      <c r="A9" s="2912"/>
      <c r="B9" s="2919" t="s">
        <v>525</v>
      </c>
      <c r="C9" s="519">
        <f>'数据-取费表'!B2</f>
        <v>43427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4" t="s">
        <v>526</v>
      </c>
      <c r="Q9" s="3383"/>
      <c r="R9" s="1568" t="s">
        <v>8</v>
      </c>
      <c r="S9" s="1569">
        <f t="shared" ref="S9:S17" si="0">F9</f>
        <v>0</v>
      </c>
      <c r="T9" s="1568" t="s">
        <v>8</v>
      </c>
      <c r="U9" s="1569">
        <f t="shared" ref="U9:U17" si="1">H9</f>
        <v>0</v>
      </c>
      <c r="V9" s="1568" t="s">
        <v>8</v>
      </c>
      <c r="W9" s="1569">
        <f t="shared" ref="W9:W17" si="2">J9</f>
        <v>0</v>
      </c>
      <c r="X9" s="1570"/>
      <c r="Y9" s="3374" t="s">
        <v>526</v>
      </c>
      <c r="Z9" s="3375"/>
      <c r="AA9" s="1571" t="e">
        <f>D9/F9</f>
        <v>#DIV/0!</v>
      </c>
      <c r="AB9" s="1571" t="e">
        <f>D9/H9</f>
        <v>#DIV/0!</v>
      </c>
      <c r="AC9" s="1571" t="e">
        <f>D9/J9</f>
        <v>#DIV/0!</v>
      </c>
    </row>
    <row r="10" spans="1:29" s="1220" customFormat="1" ht="15.75" thickBot="1">
      <c r="A10" s="2913"/>
      <c r="B10" s="2920"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4" t="s">
        <v>529</v>
      </c>
      <c r="Q10" s="3375"/>
      <c r="R10" s="1568" t="s">
        <v>8</v>
      </c>
      <c r="S10" s="1569">
        <f t="shared" si="0"/>
        <v>0</v>
      </c>
      <c r="T10" s="1568" t="s">
        <v>8</v>
      </c>
      <c r="U10" s="1569">
        <f t="shared" si="1"/>
        <v>0</v>
      </c>
      <c r="V10" s="1568" t="s">
        <v>8</v>
      </c>
      <c r="W10" s="1569">
        <f t="shared" si="2"/>
        <v>0</v>
      </c>
      <c r="X10" s="1570"/>
      <c r="Y10" s="3374" t="s">
        <v>529</v>
      </c>
      <c r="Z10" s="3375"/>
      <c r="AA10" s="1571" t="e">
        <f t="shared" ref="AA10:AA42" si="3">D10/F10</f>
        <v>#DIV/0!</v>
      </c>
      <c r="AB10" s="1571" t="e">
        <f t="shared" ref="AB10:AB42" si="4">D10/H10</f>
        <v>#DIV/0!</v>
      </c>
      <c r="AC10" s="1571"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2" t="s">
        <v>531</v>
      </c>
      <c r="Q11" s="1151" t="str">
        <f t="shared" ref="Q11:Q17" si="6">B11</f>
        <v>用途</v>
      </c>
      <c r="R11" s="1568" t="s">
        <v>8</v>
      </c>
      <c r="S11" s="1569">
        <f t="shared" si="0"/>
        <v>100</v>
      </c>
      <c r="T11" s="1568" t="s">
        <v>8</v>
      </c>
      <c r="U11" s="1569">
        <f t="shared" si="1"/>
        <v>100</v>
      </c>
      <c r="V11" s="1568" t="s">
        <v>8</v>
      </c>
      <c r="W11" s="1569">
        <f t="shared" si="2"/>
        <v>100</v>
      </c>
      <c r="X11" s="1570"/>
      <c r="Y11" s="3339" t="s">
        <v>532</v>
      </c>
      <c r="Z11" s="1150" t="str">
        <f t="shared" ref="Z11:Z17" si="7">Q11</f>
        <v>用途</v>
      </c>
      <c r="AA11" s="1571">
        <f t="shared" si="3"/>
        <v>1</v>
      </c>
      <c r="AB11" s="1571">
        <f t="shared" si="4"/>
        <v>1</v>
      </c>
      <c r="AC11" s="1571">
        <f t="shared" si="5"/>
        <v>1</v>
      </c>
    </row>
    <row r="12" spans="1:29" s="1338" customFormat="1" ht="27">
      <c r="A12" s="2915"/>
      <c r="B12" s="2920"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82"/>
      <c r="Q12" s="1151" t="str">
        <f t="shared" si="6"/>
        <v>土地使用年限（年）</v>
      </c>
      <c r="R12" s="1568" t="s">
        <v>8</v>
      </c>
      <c r="S12" s="1569">
        <f t="shared" si="0"/>
        <v>100</v>
      </c>
      <c r="T12" s="1568" t="s">
        <v>8</v>
      </c>
      <c r="U12" s="1569">
        <f t="shared" si="1"/>
        <v>100</v>
      </c>
      <c r="V12" s="1568" t="s">
        <v>8</v>
      </c>
      <c r="W12" s="1569">
        <f t="shared" si="2"/>
        <v>100</v>
      </c>
      <c r="X12" s="1570"/>
      <c r="Y12" s="3339"/>
      <c r="Z12" s="1150" t="str">
        <f t="shared" si="7"/>
        <v>土地使用年限（年）</v>
      </c>
      <c r="AA12" s="1571">
        <f t="shared" si="3"/>
        <v>1</v>
      </c>
      <c r="AB12" s="1571">
        <f t="shared" si="4"/>
        <v>1</v>
      </c>
      <c r="AC12" s="1571">
        <f t="shared" si="5"/>
        <v>1</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2"/>
      <c r="Q13" s="1151" t="str">
        <f t="shared" si="6"/>
        <v>容积率</v>
      </c>
      <c r="R13" s="1568" t="s">
        <v>8</v>
      </c>
      <c r="S13" s="1569" t="e">
        <f t="shared" si="0"/>
        <v>#N/A</v>
      </c>
      <c r="T13" s="1568" t="s">
        <v>8</v>
      </c>
      <c r="U13" s="1569" t="e">
        <f t="shared" si="1"/>
        <v>#N/A</v>
      </c>
      <c r="V13" s="1568" t="s">
        <v>8</v>
      </c>
      <c r="W13" s="1569" t="e">
        <f t="shared" si="2"/>
        <v>#N/A</v>
      </c>
      <c r="X13" s="1570"/>
      <c r="Y13" s="3339"/>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2"/>
      <c r="Q14" s="1151">
        <f t="shared" si="6"/>
        <v>111</v>
      </c>
      <c r="R14" s="1568" t="s">
        <v>8</v>
      </c>
      <c r="S14" s="1569">
        <f t="shared" si="0"/>
        <v>100</v>
      </c>
      <c r="T14" s="1568" t="s">
        <v>8</v>
      </c>
      <c r="U14" s="1569">
        <f t="shared" si="1"/>
        <v>100</v>
      </c>
      <c r="V14" s="1568" t="s">
        <v>8</v>
      </c>
      <c r="W14" s="1569">
        <f t="shared" si="2"/>
        <v>100</v>
      </c>
      <c r="X14" s="1570"/>
      <c r="Y14" s="3339"/>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2"/>
      <c r="Q15" s="1151">
        <f t="shared" si="6"/>
        <v>111</v>
      </c>
      <c r="R15" s="1568" t="s">
        <v>8</v>
      </c>
      <c r="S15" s="1569">
        <f t="shared" si="0"/>
        <v>100</v>
      </c>
      <c r="T15" s="1568" t="s">
        <v>8</v>
      </c>
      <c r="U15" s="1569">
        <f t="shared" si="1"/>
        <v>100</v>
      </c>
      <c r="V15" s="1568" t="s">
        <v>8</v>
      </c>
      <c r="W15" s="1569">
        <f t="shared" si="2"/>
        <v>100</v>
      </c>
      <c r="X15" s="1570"/>
      <c r="Y15" s="3339"/>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2"/>
      <c r="Q16" s="1151">
        <f t="shared" si="6"/>
        <v>111</v>
      </c>
      <c r="R16" s="1568" t="s">
        <v>8</v>
      </c>
      <c r="S16" s="1569">
        <f t="shared" si="0"/>
        <v>100</v>
      </c>
      <c r="T16" s="1568" t="s">
        <v>8</v>
      </c>
      <c r="U16" s="1569">
        <f t="shared" si="1"/>
        <v>100</v>
      </c>
      <c r="V16" s="1568" t="s">
        <v>8</v>
      </c>
      <c r="W16" s="1569">
        <f t="shared" si="2"/>
        <v>100</v>
      </c>
      <c r="X16" s="1570"/>
      <c r="Y16" s="3339"/>
      <c r="Z16" s="1150">
        <f t="shared" si="7"/>
        <v>111</v>
      </c>
      <c r="AA16" s="1571">
        <f t="shared" si="3"/>
        <v>1</v>
      </c>
      <c r="AB16" s="1571">
        <f t="shared" si="4"/>
        <v>1</v>
      </c>
      <c r="AC16" s="1571">
        <f t="shared" si="5"/>
        <v>1</v>
      </c>
    </row>
    <row r="17" spans="1:29" ht="57">
      <c r="A17" s="2910" t="s">
        <v>2751</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4" t="s">
        <v>536</v>
      </c>
      <c r="Q17" s="1572" t="str">
        <f t="shared" si="6"/>
        <v>产业集聚程度</v>
      </c>
      <c r="R17" s="1573" t="s">
        <v>8</v>
      </c>
      <c r="S17" s="1574">
        <f t="shared" si="0"/>
        <v>100</v>
      </c>
      <c r="T17" s="1573" t="s">
        <v>8</v>
      </c>
      <c r="U17" s="1574">
        <f t="shared" si="1"/>
        <v>100</v>
      </c>
      <c r="V17" s="1573" t="s">
        <v>8</v>
      </c>
      <c r="W17" s="1574">
        <f t="shared" si="2"/>
        <v>100</v>
      </c>
      <c r="X17" s="1567"/>
      <c r="Y17" s="3384"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5"/>
      <c r="Q18" s="1572"/>
      <c r="R18" s="1573"/>
      <c r="S18" s="1574"/>
      <c r="T18" s="1573"/>
      <c r="U18" s="1574"/>
      <c r="V18" s="1573"/>
      <c r="W18" s="1574"/>
      <c r="X18" s="1567"/>
      <c r="Y18" s="3385"/>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85"/>
      <c r="Q22" s="1572"/>
      <c r="R22" s="1573"/>
      <c r="S22" s="1574"/>
      <c r="T22" s="1573"/>
      <c r="U22" s="1574"/>
      <c r="V22" s="1573"/>
      <c r="W22" s="1574"/>
      <c r="X22" s="1567"/>
      <c r="Y22" s="3385"/>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5"/>
      <c r="Q24" s="1572"/>
      <c r="R24" s="1573"/>
      <c r="S24" s="1574"/>
      <c r="T24" s="1573"/>
      <c r="U24" s="1574"/>
      <c r="V24" s="1573"/>
      <c r="W24" s="1574"/>
      <c r="X24" s="1567"/>
      <c r="Y24" s="3385"/>
      <c r="Z24" s="1575"/>
      <c r="AA24" s="1576">
        <v>1</v>
      </c>
      <c r="AB24" s="1576">
        <v>1</v>
      </c>
      <c r="AC24" s="1576">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5"/>
      <c r="Q25" s="1151" t="str">
        <f t="shared" si="8"/>
        <v>公共配套设施</v>
      </c>
      <c r="R25" s="1568" t="s">
        <v>8</v>
      </c>
      <c r="S25" s="1569">
        <f>F25</f>
        <v>100</v>
      </c>
      <c r="T25" s="1568" t="s">
        <v>8</v>
      </c>
      <c r="U25" s="1569">
        <f>H25</f>
        <v>100</v>
      </c>
      <c r="V25" s="1568" t="s">
        <v>8</v>
      </c>
      <c r="W25" s="1569">
        <f>J25</f>
        <v>100</v>
      </c>
      <c r="X25" s="1570"/>
      <c r="Y25" s="3385"/>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85"/>
      <c r="Q26" s="1151"/>
      <c r="R26" s="1568"/>
      <c r="S26" s="1569"/>
      <c r="T26" s="1568"/>
      <c r="U26" s="1569"/>
      <c r="V26" s="1568"/>
      <c r="W26" s="1569"/>
      <c r="X26" s="1570"/>
      <c r="Y26" s="3385"/>
      <c r="Z26" s="1150"/>
      <c r="AA26" s="1571">
        <v>1</v>
      </c>
      <c r="AB26" s="1571">
        <v>1</v>
      </c>
      <c r="AC26" s="1571">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5"/>
      <c r="Q27" s="2578" t="str">
        <f t="shared" ref="Q27" si="9">B27</f>
        <v>基础设施水平</v>
      </c>
      <c r="R27" s="1568" t="s">
        <v>8</v>
      </c>
      <c r="S27" s="1569">
        <f>F27</f>
        <v>100</v>
      </c>
      <c r="T27" s="1568" t="s">
        <v>8</v>
      </c>
      <c r="U27" s="1569">
        <f>H27</f>
        <v>100</v>
      </c>
      <c r="V27" s="1568" t="s">
        <v>8</v>
      </c>
      <c r="W27" s="1569">
        <f>J27</f>
        <v>100</v>
      </c>
      <c r="X27" s="1570"/>
      <c r="Y27" s="3385"/>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85"/>
      <c r="Q28" s="2578"/>
      <c r="R28" s="1568"/>
      <c r="S28" s="1569"/>
      <c r="T28" s="1568"/>
      <c r="U28" s="1569"/>
      <c r="V28" s="1568"/>
      <c r="W28" s="1569"/>
      <c r="X28" s="1570"/>
      <c r="Y28" s="3385"/>
      <c r="Z28" s="2575"/>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2"/>
      <c r="B30" s="922" t="s">
        <v>544</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5"/>
      <c r="Q31" s="1572"/>
      <c r="R31" s="1573"/>
      <c r="S31" s="1574"/>
      <c r="T31" s="1573"/>
      <c r="U31" s="1574"/>
      <c r="V31" s="1573"/>
      <c r="W31" s="1574"/>
      <c r="X31" s="1567"/>
      <c r="Y31" s="3385"/>
      <c r="Z31" s="1575"/>
      <c r="AA31" s="1576">
        <v>1</v>
      </c>
      <c r="AB31" s="1576">
        <v>1</v>
      </c>
      <c r="AC31" s="1576">
        <v>1</v>
      </c>
    </row>
    <row r="32" spans="1:29" ht="15">
      <c r="A32" s="532"/>
      <c r="B32" s="527" t="s">
        <v>545</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6" t="s">
        <v>546</v>
      </c>
      <c r="Q34" s="1572">
        <f t="shared" si="8"/>
        <v>111</v>
      </c>
      <c r="R34" s="1573" t="s">
        <v>8</v>
      </c>
      <c r="S34" s="1574">
        <f t="shared" si="10"/>
        <v>100</v>
      </c>
      <c r="T34" s="1573" t="s">
        <v>8</v>
      </c>
      <c r="U34" s="1574">
        <f t="shared" si="11"/>
        <v>100</v>
      </c>
      <c r="V34" s="1573" t="s">
        <v>8</v>
      </c>
      <c r="W34" s="1574">
        <f t="shared" si="12"/>
        <v>100</v>
      </c>
      <c r="X34" s="1567"/>
      <c r="Y34" s="3387" t="s">
        <v>546</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907" t="s">
        <v>2752</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t="s">
        <v>597</v>
      </c>
      <c r="Q39" s="1572" t="str">
        <f t="shared" si="14"/>
        <v>工程地质条件</v>
      </c>
      <c r="R39" s="1573" t="s">
        <v>8</v>
      </c>
      <c r="S39" s="1574">
        <f t="shared" si="10"/>
        <v>100</v>
      </c>
      <c r="T39" s="1573" t="s">
        <v>8</v>
      </c>
      <c r="U39" s="1574">
        <f t="shared" si="11"/>
        <v>100</v>
      </c>
      <c r="V39" s="1573" t="s">
        <v>8</v>
      </c>
      <c r="W39" s="1574">
        <f t="shared" si="12"/>
        <v>100</v>
      </c>
      <c r="X39" s="1567"/>
      <c r="Y39" s="3387"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7" t="s">
        <v>552</v>
      </c>
      <c r="B43" s="608" t="s">
        <v>2925</v>
      </c>
      <c r="C43" s="609" t="s">
        <v>1</v>
      </c>
      <c r="D43" s="610"/>
      <c r="E43" s="611"/>
      <c r="F43" s="612"/>
      <c r="G43" s="613"/>
      <c r="H43" s="614"/>
      <c r="I43" s="611"/>
      <c r="J43" s="614"/>
      <c r="K43" s="1340"/>
      <c r="L43" s="2144"/>
      <c r="M43" s="2134"/>
      <c r="N43" s="2134"/>
      <c r="O43" s="2145"/>
      <c r="P43" s="3382" t="str">
        <f>A43</f>
        <v>成交单价</v>
      </c>
      <c r="Q43" s="3382"/>
      <c r="R43" s="3396">
        <f>E43</f>
        <v>0</v>
      </c>
      <c r="S43" s="3396"/>
      <c r="T43" s="3396">
        <f>G43</f>
        <v>0</v>
      </c>
      <c r="U43" s="3396"/>
      <c r="V43" s="3396">
        <f>I43</f>
        <v>0</v>
      </c>
      <c r="W43" s="3396"/>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82" t="str">
        <f>A44</f>
        <v>比较价格（元/平方米）</v>
      </c>
      <c r="Q44" s="3382"/>
      <c r="R44" s="3407" t="e">
        <f>ROUND(PRODUCT(R43,AA9:AA42),0)</f>
        <v>#DIV/0!</v>
      </c>
      <c r="S44" s="3407"/>
      <c r="T44" s="3407" t="e">
        <f>ROUND(PRODUCT(T43,AB9:AB42),0)</f>
        <v>#DIV/0!</v>
      </c>
      <c r="U44" s="3407"/>
      <c r="V44" s="3407" t="e">
        <f>ROUND(PRODUCT(V43,AC9:AC42),0)</f>
        <v>#DIV/0!</v>
      </c>
      <c r="W44" s="3407"/>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4"/>
      <c r="M45" s="2134"/>
      <c r="N45" s="2134"/>
      <c r="O45" s="2145"/>
      <c r="P45" s="3404" t="str">
        <f>A45</f>
        <v>估价对象XX用房的比较价格（楼面单价，元/平方米）</v>
      </c>
      <c r="Q45" s="3405"/>
      <c r="R45" s="3406" t="e">
        <f>ROUND(AVERAGE(R44:V44),0)</f>
        <v>#DIV/0!</v>
      </c>
      <c r="S45" s="3406"/>
      <c r="T45" s="3406"/>
      <c r="U45" s="3406"/>
      <c r="V45" s="3406"/>
      <c r="W45" s="340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556</v>
      </c>
      <c r="B52" s="630" t="s">
        <v>557</v>
      </c>
      <c r="C52" s="1560" t="s">
        <v>1721</v>
      </c>
      <c r="D52" s="2227" t="s">
        <v>2291</v>
      </c>
      <c r="E52" s="631" t="s">
        <v>558</v>
      </c>
      <c r="F52" s="1951" t="s">
        <v>559</v>
      </c>
      <c r="G52" s="3408" t="s">
        <v>2282</v>
      </c>
      <c r="H52" s="3409"/>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560</v>
      </c>
      <c r="B53" s="634" t="e">
        <f>C45</f>
        <v>#DIV/0!</v>
      </c>
      <c r="C53" s="635">
        <v>1</v>
      </c>
      <c r="D53" s="2228">
        <v>1</v>
      </c>
      <c r="E53" s="635">
        <f>'数据-汇总表'!E8+'数据-汇总表'!E9</f>
        <v>95293</v>
      </c>
      <c r="F53" s="1950" t="e">
        <f t="shared" ref="F53:F62" si="15">ROUND(B53*E53/10000,0)</f>
        <v>#DIV/0!</v>
      </c>
      <c r="G53" s="3410"/>
      <c r="H53" s="341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561</v>
      </c>
      <c r="B54" s="638" t="e">
        <f>ROUND($C$45*C54*D54,0)</f>
        <v>#DIV/0!</v>
      </c>
      <c r="C54" s="378">
        <f t="shared" ref="C54:C62" si="16">IF($C$52="北京市系数",I54,J54)</f>
        <v>0.6</v>
      </c>
      <c r="D54" s="2229">
        <v>0.25</v>
      </c>
      <c r="E54" s="639"/>
      <c r="F54" s="1950" t="e">
        <f t="shared" si="15"/>
        <v>#DIV/0!</v>
      </c>
      <c r="G54" s="3412" t="s">
        <v>2283</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562</v>
      </c>
      <c r="B55" s="638" t="e">
        <f t="shared" ref="B55:B62" si="17">ROUND($C$45*C55*D55,0)</f>
        <v>#DIV/0!</v>
      </c>
      <c r="C55" s="378">
        <f t="shared" si="16"/>
        <v>0.3</v>
      </c>
      <c r="D55" s="2229">
        <v>0.25</v>
      </c>
      <c r="E55" s="639"/>
      <c r="F55" s="1950" t="e">
        <f t="shared" si="15"/>
        <v>#DIV/0!</v>
      </c>
      <c r="G55" s="3412"/>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563</v>
      </c>
      <c r="B56" s="638" t="e">
        <f t="shared" si="17"/>
        <v>#DIV/0!</v>
      </c>
      <c r="C56" s="378">
        <f t="shared" si="16"/>
        <v>0.2</v>
      </c>
      <c r="D56" s="2229">
        <v>0.25</v>
      </c>
      <c r="E56" s="639"/>
      <c r="F56" s="1950" t="e">
        <f t="shared" si="15"/>
        <v>#DIV/0!</v>
      </c>
      <c r="G56" s="3412"/>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564</v>
      </c>
      <c r="B57" s="638" t="e">
        <f t="shared" si="17"/>
        <v>#DIV/0!</v>
      </c>
      <c r="C57" s="378">
        <f t="shared" si="16"/>
        <v>0.2</v>
      </c>
      <c r="D57" s="2229">
        <v>0.25</v>
      </c>
      <c r="E57" s="639"/>
      <c r="F57" s="1950" t="e">
        <f t="shared" si="15"/>
        <v>#DIV/0!</v>
      </c>
      <c r="G57" s="3412"/>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0</v>
      </c>
      <c r="F58" s="1950" t="e">
        <f t="shared" si="15"/>
        <v>#DIV/0!</v>
      </c>
      <c r="G58" s="1956" t="s">
        <v>2284</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 t="shared" si="17"/>
        <v>#DIV/0!</v>
      </c>
      <c r="C59" s="378">
        <f t="shared" si="16"/>
        <v>0.2</v>
      </c>
      <c r="D59" s="2229">
        <v>0.25</v>
      </c>
      <c r="E59" s="641">
        <f>'数据-汇总表'!E12</f>
        <v>5719</v>
      </c>
      <c r="F59" s="1950" t="e">
        <f t="shared" si="15"/>
        <v>#DIV/0!</v>
      </c>
      <c r="G59" s="1946" t="s">
        <v>1674</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si="17"/>
        <v>#DIV/0!</v>
      </c>
      <c r="C60" s="378">
        <f t="shared" si="16"/>
        <v>0.15</v>
      </c>
      <c r="D60" s="2229">
        <v>0.25</v>
      </c>
      <c r="E60" s="641">
        <f>'数据-汇总表'!E13</f>
        <v>23909.5</v>
      </c>
      <c r="F60" s="1950" t="e">
        <f t="shared" si="15"/>
        <v>#DIV/0!</v>
      </c>
      <c r="G60" s="1946" t="s">
        <v>919</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0.15</v>
      </c>
      <c r="D61" s="2229">
        <v>0.25</v>
      </c>
      <c r="E61" s="641">
        <f>'数据-汇总表'!E14</f>
        <v>0</v>
      </c>
      <c r="F61" s="1950" t="e">
        <f t="shared" si="15"/>
        <v>#DIV/0!</v>
      </c>
      <c r="G61" s="1956" t="s">
        <v>2283</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568</v>
      </c>
      <c r="B62" s="638" t="e">
        <f t="shared" si="17"/>
        <v>#DIV/0!</v>
      </c>
      <c r="C62" s="378">
        <f t="shared" si="16"/>
        <v>0.15</v>
      </c>
      <c r="D62" s="2229">
        <v>0.25</v>
      </c>
      <c r="E62" s="641">
        <f>'数据-汇总表'!E15</f>
        <v>0</v>
      </c>
      <c r="F62" s="1950" t="e">
        <f t="shared" si="15"/>
        <v>#DIV/0!</v>
      </c>
      <c r="G62" s="1957" t="s">
        <v>2284</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569</v>
      </c>
      <c r="B63" s="643" t="s">
        <v>17</v>
      </c>
      <c r="C63" s="643" t="s">
        <v>18</v>
      </c>
      <c r="D63" s="643" t="s">
        <v>2292</v>
      </c>
      <c r="E63" s="643">
        <f>IF(B43="楼面地价",SUM(E53:E62),'数据-汇总表'!D3)</f>
        <v>33824.92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571</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527</v>
      </c>
      <c r="B70" s="648"/>
      <c r="C70" s="660" t="s">
        <v>572</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573</v>
      </c>
      <c r="B72" s="665" t="s">
        <v>530</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533</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535</v>
      </c>
      <c r="B85" s="665" t="s">
        <v>598</v>
      </c>
      <c r="C85" s="703" t="s">
        <v>575</v>
      </c>
      <c r="D85" s="703" t="s">
        <v>576</v>
      </c>
      <c r="E85" s="703" t="s">
        <v>577</v>
      </c>
      <c r="F85" s="703" t="s">
        <v>578</v>
      </c>
      <c r="G85" s="703" t="s">
        <v>579</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582</v>
      </c>
      <c r="C87" s="708" t="s">
        <v>575</v>
      </c>
      <c r="D87" s="708" t="s">
        <v>576</v>
      </c>
      <c r="E87" s="708" t="s">
        <v>577</v>
      </c>
      <c r="F87" s="708" t="s">
        <v>578</v>
      </c>
      <c r="G87" s="708" t="s">
        <v>579</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575</v>
      </c>
      <c r="D93" s="703" t="s">
        <v>576</v>
      </c>
      <c r="E93" s="703" t="s">
        <v>577</v>
      </c>
      <c r="F93" s="703" t="s">
        <v>578</v>
      </c>
      <c r="G93" s="703" t="s">
        <v>579</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585</v>
      </c>
      <c r="D97" s="674" t="s">
        <v>586</v>
      </c>
      <c r="E97" s="674" t="s">
        <v>587</v>
      </c>
      <c r="F97" s="674" t="s">
        <v>588</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544</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545</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590</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592</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D7" sqref="D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988</v>
      </c>
      <c r="D1" s="1521">
        <f>SUM(D29:D30,D33:D39)</f>
        <v>0</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1632</v>
      </c>
      <c r="T1" s="2936" t="s">
        <v>2781</v>
      </c>
      <c r="U1" s="2936" t="s">
        <v>2782</v>
      </c>
      <c r="V1" s="2936" t="s">
        <v>989</v>
      </c>
      <c r="W1" s="2189"/>
      <c r="X1" s="2189"/>
      <c r="Y1" s="2189"/>
      <c r="Z1" s="2189"/>
      <c r="AA1" s="2189"/>
      <c r="AB1" s="2189"/>
      <c r="AC1" s="2190"/>
    </row>
    <row r="2" spans="1:39" ht="15.75">
      <c r="A2" s="1406" t="s">
        <v>916</v>
      </c>
      <c r="B2" s="1038">
        <f ca="1">C26</f>
        <v>0</v>
      </c>
      <c r="C2" s="1407" t="s">
        <v>917</v>
      </c>
      <c r="D2" s="1408" t="s">
        <v>894</v>
      </c>
      <c r="E2" s="1409" t="s">
        <v>3047</v>
      </c>
      <c r="F2" s="1408" t="s">
        <v>895</v>
      </c>
      <c r="G2" s="1652" t="str">
        <f>IF(E2="商业",项目基本情况!B43,IF(E2="办公",项目基本情况!C43,IF(E2="住宅",项目基本情况!D43,项目基本情况!E43)))</f>
        <v>八级</v>
      </c>
      <c r="H2" s="1408" t="s">
        <v>922</v>
      </c>
      <c r="I2" s="1653" t="str">
        <f>IF(E2="商业",项目基本情况!B44,IF(E2="办公",项目基本情况!C44,IF(E2="住宅",项目基本情况!D44,项目基本情况!E44)))</f>
        <v>Ⅷ-亦1</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f ca="1">ROUND($C$5*$C$18*$C$19*$C$20*S2*$C$24,0)</f>
        <v>14420</v>
      </c>
      <c r="U2" s="2926"/>
      <c r="V2" s="2937">
        <f ca="1">ROUND(T2*U2/10000,0)</f>
        <v>0</v>
      </c>
      <c r="W2" s="2189"/>
      <c r="X2" s="2189"/>
      <c r="Y2" s="2189"/>
      <c r="Z2" s="2189"/>
      <c r="AA2" s="2189"/>
      <c r="AB2" s="2189"/>
      <c r="AC2" s="2190"/>
    </row>
    <row r="3" spans="1:39" ht="15.75">
      <c r="A3" s="1411" t="s">
        <v>1684</v>
      </c>
      <c r="B3" s="1038" t="e">
        <f ca="1">ROUND(B2*10000/D1,0)</f>
        <v>#DIV/0!</v>
      </c>
      <c r="C3" s="1407" t="s">
        <v>923</v>
      </c>
      <c r="D3" s="1408" t="s">
        <v>924</v>
      </c>
      <c r="E3" s="1412" t="s">
        <v>3173</v>
      </c>
      <c r="F3" s="1413" t="s">
        <v>3162</v>
      </c>
      <c r="G3" s="1039">
        <f>IF(F3="宗地容积率",'数据-汇总表'!I4,IF(F3="估价对象容积率",'数据-汇总表'!I6,'数据-汇总表'!I7))</f>
        <v>2.82</v>
      </c>
      <c r="H3" s="1414" t="s">
        <v>925</v>
      </c>
      <c r="I3" s="1040">
        <v>1</v>
      </c>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f t="shared" ref="T3:T16" ca="1" si="0">ROUND($C$5*$C$18*$C$19*$C$20*S3*$C$24,0)</f>
        <v>9504</v>
      </c>
      <c r="U3" s="2926"/>
      <c r="V3" s="2937">
        <f t="shared" ref="V3:V16" ca="1" si="1">ROUND(T3*U3/10000,0)</f>
        <v>0</v>
      </c>
      <c r="W3" s="2189"/>
      <c r="X3" s="2189"/>
      <c r="Y3" s="2189"/>
      <c r="Z3" s="2189"/>
      <c r="AA3" s="2189"/>
      <c r="AB3" s="2189"/>
      <c r="AC3" s="2190"/>
    </row>
    <row r="4" spans="1:39" ht="28.5">
      <c r="A4" s="1891" t="s">
        <v>2278</v>
      </c>
      <c r="B4" s="2453" t="e">
        <f ca="1">ROUND(B2*10000/F1,0)</f>
        <v>#DIV/0!</v>
      </c>
      <c r="C4" s="1894" t="s">
        <v>2252</v>
      </c>
      <c r="D4" s="1894" t="e">
        <f ca="1">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f t="shared" ca="1" si="0"/>
        <v>7479</v>
      </c>
      <c r="U4" s="2926"/>
      <c r="V4" s="2937">
        <f t="shared" ca="1" si="1"/>
        <v>0</v>
      </c>
      <c r="W4" s="2189"/>
      <c r="X4" s="2189"/>
      <c r="Y4" s="2189"/>
      <c r="Z4" s="2189"/>
      <c r="AA4" s="2189"/>
      <c r="AB4" s="2189"/>
      <c r="AC4" s="2190"/>
    </row>
    <row r="5" spans="1:39" s="1421" customFormat="1" ht="15.75" thickBot="1">
      <c r="A5" s="1638" t="s">
        <v>1820</v>
      </c>
      <c r="B5" s="1415" t="s">
        <v>927</v>
      </c>
      <c r="C5" s="1041">
        <f>ROUND(IF(E2="商业",IF(F16="增加",C6*C7+C16,C6*C7-C16),IF(E2="住宅",IF(F16="增加",C6*C12+C16,C6*C12-C16),IF(F16="增加",C6+C16,C6-C16))),0)</f>
        <v>5552</v>
      </c>
      <c r="D5" s="3117">
        <f>ROUND(IF(E2="商业",IF(F16="增加",C6+C16,C6-C16)),0)</f>
        <v>5552</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f t="shared" ca="1" si="0"/>
        <v>5588</v>
      </c>
      <c r="U5" s="2926"/>
      <c r="V5" s="2937">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SUMIF(L1:L12,'基准地价-商业'!G2,M1:M12)</f>
        <v>5590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f t="shared" ca="1" si="0"/>
        <v>4202</v>
      </c>
      <c r="U6" s="2926"/>
      <c r="V6" s="2937">
        <f t="shared" ca="1" si="1"/>
        <v>0</v>
      </c>
      <c r="W6" s="2189"/>
      <c r="X6" s="2189"/>
      <c r="Y6" s="2189"/>
      <c r="Z6" s="2189"/>
      <c r="AA6" s="2189"/>
      <c r="AB6" s="2189"/>
      <c r="AC6" s="2191"/>
      <c r="AD6" s="1419"/>
      <c r="AE6" s="1419"/>
      <c r="AF6" s="1419"/>
      <c r="AG6" s="1419"/>
      <c r="AH6" s="1419"/>
      <c r="AI6" s="1419"/>
      <c r="AJ6" s="1420"/>
    </row>
    <row r="7" spans="1:39" ht="24">
      <c r="A7" s="3419" t="str">
        <f>IF(E2="商业",IF(C8="不临58条商业街","",2),"")</f>
        <v/>
      </c>
      <c r="B7" s="1427" t="s">
        <v>928</v>
      </c>
      <c r="C7" s="1043">
        <f>IF(C8="不临58条商业街",1,ROUND(1+(1.6*E8+1.2*E9+0.8*E10+0.4*E11)*C9,4))</f>
        <v>1</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f t="shared" ca="1" si="0"/>
        <v>3360</v>
      </c>
      <c r="U7" s="2926"/>
      <c r="V7" s="2937">
        <f t="shared" ca="1" si="1"/>
        <v>0</v>
      </c>
      <c r="W7" s="3193" t="s">
        <v>2762</v>
      </c>
      <c r="X7" s="2927" t="str">
        <f>G2</f>
        <v>八级</v>
      </c>
      <c r="Y7" s="2927" t="s">
        <v>2763</v>
      </c>
      <c r="Z7" s="2928">
        <f>G3</f>
        <v>2.82</v>
      </c>
      <c r="AA7" s="2192"/>
      <c r="AB7" s="2192"/>
      <c r="AC7" s="2193"/>
      <c r="AD7" s="2929"/>
      <c r="AE7" s="2929"/>
      <c r="AF7" s="2929"/>
      <c r="AG7" s="2929"/>
      <c r="AH7" s="2929"/>
      <c r="AI7" s="2929"/>
      <c r="AJ7" s="2930"/>
    </row>
    <row r="8" spans="1:39" ht="25.5">
      <c r="A8" s="3420"/>
      <c r="B8" s="1414" t="s">
        <v>930</v>
      </c>
      <c r="C8" s="1529" t="s">
        <v>3163</v>
      </c>
      <c r="D8" s="1045" t="s">
        <v>931</v>
      </c>
      <c r="E8" s="1046" t="e">
        <f>ROUND(C11/E7,4)</f>
        <v>#DIV/0!</v>
      </c>
      <c r="F8" s="1432" t="s">
        <v>932</v>
      </c>
      <c r="G8" s="1433"/>
      <c r="H8" s="1433"/>
      <c r="I8" s="1433"/>
      <c r="J8" s="1434"/>
      <c r="K8" s="1401"/>
      <c r="L8" s="1885" t="s">
        <v>2243</v>
      </c>
      <c r="M8" s="1886">
        <f>SUMPRODUCT((区片价!B206:B244=I2)*(区片价!C3:F3=E2)*(区片价!C206:F244))</f>
        <v>5590</v>
      </c>
      <c r="N8" s="1887">
        <f>SUMPRODUCT((因素修正幅度!B206:B244=I2)*(因素修正幅度!C3:F3=E2)*(因素修正幅度!C206:F244))</f>
        <v>0.14099999999999999</v>
      </c>
      <c r="O8" s="2189"/>
      <c r="P8" s="2189"/>
      <c r="Q8" s="2189"/>
      <c r="R8" s="2937">
        <v>7</v>
      </c>
      <c r="S8" s="2926"/>
      <c r="T8" s="2937">
        <f t="shared" ca="1" si="0"/>
        <v>0</v>
      </c>
      <c r="U8" s="2926"/>
      <c r="V8" s="2937">
        <f t="shared" ca="1" si="1"/>
        <v>0</v>
      </c>
      <c r="W8" s="3421" t="s">
        <v>2780</v>
      </c>
      <c r="X8" s="3422"/>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0"/>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f t="shared" ca="1" si="0"/>
        <v>0</v>
      </c>
      <c r="U9" s="2926"/>
      <c r="V9" s="2937">
        <f t="shared" ca="1" si="1"/>
        <v>0</v>
      </c>
      <c r="W9" s="3423"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f t="shared" ca="1" si="0"/>
        <v>0</v>
      </c>
      <c r="U10" s="2926"/>
      <c r="V10" s="2937">
        <f t="shared" ca="1" si="1"/>
        <v>0</v>
      </c>
      <c r="W10" s="342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f t="shared" ca="1" si="0"/>
        <v>0</v>
      </c>
      <c r="U11" s="2926"/>
      <c r="V11" s="2937">
        <f t="shared" ca="1" si="1"/>
        <v>0</v>
      </c>
      <c r="W11" s="3423" t="s">
        <v>2778</v>
      </c>
      <c r="X11" s="1048" t="s">
        <v>2763</v>
      </c>
      <c r="Y11" s="1653">
        <f>$G$3</f>
        <v>2.82</v>
      </c>
      <c r="Z11" s="1653">
        <f t="shared" ref="Z11:AJ11" si="3">$G$3</f>
        <v>2.82</v>
      </c>
      <c r="AA11" s="1653">
        <f t="shared" si="3"/>
        <v>2.82</v>
      </c>
      <c r="AB11" s="1653">
        <f t="shared" si="3"/>
        <v>2.82</v>
      </c>
      <c r="AC11" s="1653">
        <f t="shared" si="3"/>
        <v>2.82</v>
      </c>
      <c r="AD11" s="1653">
        <f t="shared" si="3"/>
        <v>2.82</v>
      </c>
      <c r="AE11" s="1653">
        <f t="shared" si="3"/>
        <v>2.82</v>
      </c>
      <c r="AF11" s="1653">
        <f t="shared" si="3"/>
        <v>2.82</v>
      </c>
      <c r="AG11" s="1653">
        <f t="shared" si="3"/>
        <v>2.82</v>
      </c>
      <c r="AH11" s="1653">
        <f t="shared" si="3"/>
        <v>2.82</v>
      </c>
      <c r="AI11" s="1653">
        <f t="shared" si="3"/>
        <v>2.82</v>
      </c>
      <c r="AJ11" s="1653">
        <f t="shared" si="3"/>
        <v>2.82</v>
      </c>
    </row>
    <row r="12" spans="1:39" ht="25.5" thickBot="1">
      <c r="A12" s="3419"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f t="shared" ca="1" si="0"/>
        <v>0</v>
      </c>
      <c r="U12" s="2926"/>
      <c r="V12" s="2937">
        <f t="shared" ca="1" si="1"/>
        <v>0</v>
      </c>
      <c r="W12" s="342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4"/>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f t="shared" ca="1" si="0"/>
        <v>0</v>
      </c>
      <c r="U13" s="2926"/>
      <c r="V13" s="2937">
        <f t="shared" ca="1" si="1"/>
        <v>0</v>
      </c>
      <c r="W13" s="3423"/>
      <c r="X13" s="2934"/>
      <c r="Y13" s="2933">
        <f>(-0.163*(Y12^2)-0.59*Y12+7617)*(10^(-4))/Y11</f>
        <v>0.27010638297872341</v>
      </c>
      <c r="Z13" s="2933">
        <f t="shared" ref="Z13:AJ13" si="5">(-0.163*(Z12^2)-0.59*Z12+7617)*(10^(-4))/Z11</f>
        <v>0.27010638297872341</v>
      </c>
      <c r="AA13" s="2933">
        <f t="shared" si="5"/>
        <v>0.27010638297872341</v>
      </c>
      <c r="AB13" s="2933">
        <f t="shared" si="5"/>
        <v>0.27010638297872341</v>
      </c>
      <c r="AC13" s="2933">
        <f t="shared" si="5"/>
        <v>0.27010638297872341</v>
      </c>
      <c r="AD13" s="2933">
        <f t="shared" si="5"/>
        <v>0.27010638297872341</v>
      </c>
      <c r="AE13" s="2933">
        <f t="shared" si="5"/>
        <v>0.27010638297872341</v>
      </c>
      <c r="AF13" s="2933">
        <f t="shared" si="5"/>
        <v>0.27010638297872341</v>
      </c>
      <c r="AG13" s="2933">
        <f t="shared" si="5"/>
        <v>0.27010638297872341</v>
      </c>
      <c r="AH13" s="2933">
        <f t="shared" si="5"/>
        <v>0.27010638297872341</v>
      </c>
      <c r="AI13" s="2933">
        <f t="shared" si="5"/>
        <v>0.27010638297872341</v>
      </c>
      <c r="AJ13" s="2933">
        <f t="shared" si="5"/>
        <v>0.27010638297872341</v>
      </c>
    </row>
    <row r="14" spans="1:39" ht="12.75" customHeight="1" thickBot="1">
      <c r="A14" s="3424"/>
      <c r="B14" s="1451"/>
      <c r="C14" s="1452" t="s">
        <v>3053</v>
      </c>
      <c r="D14" s="1453" t="s">
        <v>3053</v>
      </c>
      <c r="E14" s="1453" t="s">
        <v>3053</v>
      </c>
      <c r="F14" s="1454" t="s">
        <v>3164</v>
      </c>
      <c r="G14" s="1455" t="s">
        <v>945</v>
      </c>
      <c r="H14" s="1456"/>
      <c r="I14" s="1457"/>
      <c r="J14" s="1458"/>
      <c r="K14" s="1401"/>
      <c r="L14" s="2189"/>
      <c r="M14" s="2189"/>
      <c r="N14" s="2189"/>
      <c r="O14" s="2189"/>
      <c r="P14" s="2189"/>
      <c r="Q14" s="2189"/>
      <c r="R14" s="2937">
        <v>13</v>
      </c>
      <c r="S14" s="2926"/>
      <c r="T14" s="2937">
        <f t="shared" ca="1" si="0"/>
        <v>0</v>
      </c>
      <c r="U14" s="2926"/>
      <c r="V14" s="2937">
        <f t="shared" ca="1" si="1"/>
        <v>0</v>
      </c>
      <c r="W14" s="2189"/>
      <c r="X14" s="2189"/>
      <c r="Y14" s="2189"/>
      <c r="Z14" s="2189"/>
      <c r="AA14" s="2189"/>
      <c r="AB14" s="2189"/>
      <c r="AC14" s="2190"/>
    </row>
    <row r="15" spans="1:39" ht="13.5" customHeight="1" thickBot="1">
      <c r="A15" s="3425"/>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972</v>
      </c>
      <c r="N15" s="1428" t="s">
        <v>975</v>
      </c>
      <c r="O15" s="1428" t="s">
        <v>898</v>
      </c>
      <c r="P15" s="1476" t="s">
        <v>982</v>
      </c>
      <c r="Q15" s="2189"/>
      <c r="R15" s="2937">
        <v>14</v>
      </c>
      <c r="S15" s="2926"/>
      <c r="T15" s="2937">
        <f t="shared" ca="1" si="0"/>
        <v>0</v>
      </c>
      <c r="U15" s="2926"/>
      <c r="V15" s="2937">
        <f t="shared" ca="1" si="1"/>
        <v>0</v>
      </c>
      <c r="W15" s="2189"/>
      <c r="X15" s="2189"/>
      <c r="Y15" s="2189"/>
      <c r="Z15" s="2189"/>
      <c r="AA15" s="2189"/>
      <c r="AB15" s="2189"/>
      <c r="AC15" s="2190"/>
    </row>
    <row r="16" spans="1:39" ht="24">
      <c r="A16" s="3419" t="s">
        <v>1835</v>
      </c>
      <c r="B16" s="1427" t="s">
        <v>946</v>
      </c>
      <c r="C16" s="1054">
        <f>ROUND(SUM(G17:J17)/C17,0)</f>
        <v>38</v>
      </c>
      <c r="D16" s="1460" t="s">
        <v>947</v>
      </c>
      <c r="E16" s="1461" t="s">
        <v>3165</v>
      </c>
      <c r="F16" s="1462" t="s">
        <v>3166</v>
      </c>
      <c r="G16" s="1463" t="s">
        <v>3167</v>
      </c>
      <c r="H16" s="1463" t="s">
        <v>3168</v>
      </c>
      <c r="I16" s="1463"/>
      <c r="J16" s="1463"/>
      <c r="K16" s="1401"/>
      <c r="L16" s="1464" t="s">
        <v>984</v>
      </c>
      <c r="M16" s="1047">
        <v>0.25</v>
      </c>
      <c r="N16" s="1047">
        <v>0.2</v>
      </c>
      <c r="O16" s="1047">
        <v>0.15</v>
      </c>
      <c r="P16" s="1539">
        <v>0.1</v>
      </c>
      <c r="Q16" s="2192"/>
      <c r="R16" s="2937">
        <v>15</v>
      </c>
      <c r="S16" s="2926"/>
      <c r="T16" s="2937">
        <f t="shared" ca="1" si="0"/>
        <v>0</v>
      </c>
      <c r="U16" s="2926"/>
      <c r="V16" s="2937">
        <f t="shared" ca="1" si="1"/>
        <v>0</v>
      </c>
      <c r="W16" s="2192"/>
      <c r="X16" s="2192"/>
      <c r="Y16" s="2192"/>
      <c r="Z16" s="2192"/>
      <c r="AA16" s="2192"/>
      <c r="AB16" s="2192"/>
      <c r="AC16" s="2193"/>
    </row>
    <row r="17" spans="1:40" ht="13.5" thickBot="1">
      <c r="A17" s="3420"/>
      <c r="B17" s="1465" t="s">
        <v>949</v>
      </c>
      <c r="C17" s="1055">
        <f>SUMPRODUCT((修正!A2:A5=E2)*(修正!B1:M1=G2)*(修正!B2:M5))</f>
        <v>2</v>
      </c>
      <c r="D17" s="1467" t="s">
        <v>950</v>
      </c>
      <c r="E17" s="1468" t="str">
        <f>IF(OR(G2="八级",G2="九级",G2="十级",G2="十一级",G2="十二级"),"五通一平","七通一平")</f>
        <v>五通一平</v>
      </c>
      <c r="F17" s="1466" t="s">
        <v>951</v>
      </c>
      <c r="G17" s="1055">
        <f>SUMPRODUCT((七通一平=G16)*(修正!B1:M1=G2)*(修正!B6:M14))</f>
        <v>50</v>
      </c>
      <c r="H17" s="1055">
        <f>SUMPRODUCT((七通一平=H16)*(修正!B1:M1=G2)*(修正!B6:M14))</f>
        <v>25</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1823</v>
      </c>
      <c r="B18" s="2772" t="s">
        <v>952</v>
      </c>
      <c r="C18" s="2773">
        <f>SUMIF(修正!C18:C39,E3,修正!E18:E39)</f>
        <v>1</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1824</v>
      </c>
      <c r="B19" s="1470" t="s">
        <v>953</v>
      </c>
      <c r="C19" s="1057">
        <f>ROUND(IF(H19="按公示增长率计算",SUMPRODUCT((地价!A3:A24=YEAR(G19)&amp;"-"&amp;ROUNDUP(MONTH(G19)/3,0))*(地价!X2:AB2=E2)*(地价!X3:AB24)),IF(H19="地价指数",M20/M19,(1+I19)^O19)),4)</f>
        <v>1.3217000000000001</v>
      </c>
      <c r="D19" s="1474" t="s">
        <v>954</v>
      </c>
      <c r="E19" s="1058">
        <v>41640</v>
      </c>
      <c r="F19" s="1474" t="s">
        <v>955</v>
      </c>
      <c r="G19" s="1059">
        <f>'数据-取费表'!B2</f>
        <v>43427</v>
      </c>
      <c r="H19" s="1475" t="s">
        <v>2927</v>
      </c>
      <c r="I19" s="2784" t="str">
        <f>IF(H19="季度增幅（自定义）",SUMIF(N21:N24,E2,O21:O24),"")</f>
        <v/>
      </c>
      <c r="J19" s="1471"/>
      <c r="K19" s="1481"/>
      <c r="L19" s="3038" t="s">
        <v>2838</v>
      </c>
      <c r="M19" s="3039">
        <f>ROUND(SUMIF(地价!B2:F2,E2,地价!B24:F24),0)</f>
        <v>258</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1825</v>
      </c>
      <c r="B20" s="2779" t="s">
        <v>968</v>
      </c>
      <c r="C20" s="2780">
        <f ca="1">ROUND(POWER(1+G20,J20-I20)*(POWER(1+G20,I20)-1)/(POWER(1+G20,J20)-1),4)</f>
        <v>0.99519999999999997</v>
      </c>
      <c r="D20" s="2781" t="s">
        <v>969</v>
      </c>
      <c r="E20" s="3092">
        <f ca="1">存贷款利率!I4/100</f>
        <v>4.3499999999999997E-2</v>
      </c>
      <c r="F20" s="2781" t="s">
        <v>970</v>
      </c>
      <c r="G20" s="2782">
        <f ca="1">SUMIF(M15:P15,E2,M17:P17)</f>
        <v>5.3999999999999999E-2</v>
      </c>
      <c r="H20" s="2781" t="s">
        <v>971</v>
      </c>
      <c r="I20" s="2771">
        <f>SUMIF('数据-取费表'!C6:C15,E2,'数据-取费表'!F6:F15)/COUNTIF('数据-取费表'!C6:C15,E2)</f>
        <v>39.35</v>
      </c>
      <c r="J20" s="2783">
        <f>IF(E2="住宅",70,IF(E2="商业",40,50))</f>
        <v>40</v>
      </c>
      <c r="K20" s="1481"/>
      <c r="L20" s="3040" t="s">
        <v>2839</v>
      </c>
      <c r="M20" s="3041">
        <f>ROUND(SUMPRODUCT((地价!A4:A24=YEAR(G19)&amp;"-"&amp;ROUNDUP(MONTH(G19)/3,0))*(地价!B2:F2=E2)*(地价!B4:F24)),0)</f>
        <v>341</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2758</v>
      </c>
      <c r="C21" s="1158">
        <f>IF(B21="容积率修正",IF(G3&lt;=10,D22,J22),C23)</f>
        <v>1.9419999999999999</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f>IF(E22=G22,F22,IF(G3&lt;=10,ROUND(F22+(H22-F22)*(G3-E22)/(G22-E22),4),"——"))</f>
        <v>0.83899999999999997</v>
      </c>
      <c r="E22" s="1039">
        <f>ROUNDDOWN(G3,1)</f>
        <v>2.8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039">
        <f>ROUNDUP(G3,1)</f>
        <v>2.9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0.82809999999999995</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1.9419999999999999</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1.0167999999999999</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f ca="1">E29+SUM(E33:E39)</f>
        <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f ca="1">E30+SUM(I33:I39)</f>
        <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f ca="1">ROUND(C5*C18*C19*C20*C21*C24,0)</f>
        <v>14420</v>
      </c>
      <c r="D29" s="1504">
        <f>'数据-汇总表'!F20</f>
        <v>0</v>
      </c>
      <c r="E29" s="1849">
        <f ca="1">ROUND(C29*D29/10000,0)</f>
        <v>0</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f ca="1">ROUND(IF(E2="工业",C29*M39,C29*M38),0)</f>
        <v>3605</v>
      </c>
      <c r="D30" s="1510"/>
      <c r="E30" s="1849">
        <f ca="1">ROUND(C30*D30/10000,0)</f>
        <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7" t="s">
        <v>2953</v>
      </c>
      <c r="B33" s="1524" t="s">
        <v>996</v>
      </c>
      <c r="C33" s="1063">
        <f ca="1">ROUND(D5*C19*C20*C24*F33,0)</f>
        <v>4455</v>
      </c>
      <c r="D33" s="1537"/>
      <c r="E33" s="1048">
        <f ca="1">ROUND(C33*D33/10000,0)</f>
        <v>0</v>
      </c>
      <c r="F33" s="1048">
        <f>SUMIF(修正!A45:A56,G2,修正!B45:B56)</f>
        <v>0.6</v>
      </c>
      <c r="G33" s="1048">
        <f t="shared" ref="G33" ca="1" si="6">ROUND(IF(E2="工业",C33*$M$39,C33*$M$38),0)</f>
        <v>1114</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8"/>
      <c r="B34" s="1445" t="s">
        <v>997</v>
      </c>
      <c r="C34" s="1063">
        <f ca="1">ROUND(D5*C19*C20*C24*F34,0)</f>
        <v>2228</v>
      </c>
      <c r="D34" s="1537"/>
      <c r="E34" s="1048">
        <f t="shared" ref="E34:E39" ca="1" si="7">ROUND(C34*D34/10000,0)</f>
        <v>0</v>
      </c>
      <c r="F34" s="1048">
        <f>SUMIF(修正!A45:A56,G2,修正!C45:C56)</f>
        <v>0.3</v>
      </c>
      <c r="G34" s="1048">
        <f ca="1">ROUND(IF(E2="工业",C34*$M$39,C34*$M$38),0)</f>
        <v>557</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8"/>
      <c r="B35" s="1445" t="s">
        <v>998</v>
      </c>
      <c r="C35" s="1063">
        <f ca="1">ROUND(D5*C19*C20*C24*F35,0)</f>
        <v>1485</v>
      </c>
      <c r="D35" s="1537"/>
      <c r="E35" s="1048">
        <f t="shared" ca="1" si="7"/>
        <v>0</v>
      </c>
      <c r="F35" s="1048">
        <f>SUMIF(修正!A45:A56,G2,修正!D45:D56)</f>
        <v>0.2</v>
      </c>
      <c r="G35" s="1048">
        <f ca="1">ROUND(IF(E2="工业",C35*$M$39,C35*$M$38),0)</f>
        <v>371</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9"/>
      <c r="B36" s="1445" t="s">
        <v>999</v>
      </c>
      <c r="C36" s="1063">
        <f ca="1">ROUND(D5*C19*C20*C24*F36,0)</f>
        <v>1485</v>
      </c>
      <c r="D36" s="1537"/>
      <c r="E36" s="1048">
        <f t="shared" ca="1" si="7"/>
        <v>0</v>
      </c>
      <c r="F36" s="1048">
        <f>SUMIF(修正!A45:A56,G2,修正!E45:E56)</f>
        <v>0.2</v>
      </c>
      <c r="G36" s="1048">
        <f ca="1">ROUND(IF(E2="工业",C36*$M$39,C36*$M$38),0)</f>
        <v>371</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f ca="1">ROUND(C5*C19*C20*C24*F37,0)</f>
        <v>1485</v>
      </c>
      <c r="D37" s="1537"/>
      <c r="E37" s="1048">
        <f t="shared" ca="1" si="7"/>
        <v>0</v>
      </c>
      <c r="F37" s="1063">
        <f>SUMIF(修正!A45:A56,G2,修正!F45:F56)</f>
        <v>0.2</v>
      </c>
      <c r="G37" s="1048">
        <f ca="1">ROUND(IF(E2="工业",C37*$M$39,C37*$M$38),0)</f>
        <v>371</v>
      </c>
      <c r="H37" s="1048">
        <f t="shared" si="8"/>
        <v>0</v>
      </c>
      <c r="I37" s="1048">
        <f t="shared" ca="1" si="9"/>
        <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f ca="1">ROUND(C5*C19*C20*C24*F38,0)</f>
        <v>1485</v>
      </c>
      <c r="D38" s="1537"/>
      <c r="E38" s="1048">
        <f t="shared" ca="1" si="7"/>
        <v>0</v>
      </c>
      <c r="F38" s="1063">
        <f>SUMIF(修正!A45:A56,G2,修正!G45:G56)</f>
        <v>0.2</v>
      </c>
      <c r="G38" s="1048">
        <f ca="1">ROUND(IF(E2="工业",C38*$M$39,C38*$M$38),0)</f>
        <v>371</v>
      </c>
      <c r="H38" s="1048">
        <f t="shared" si="8"/>
        <v>0</v>
      </c>
      <c r="I38" s="1048">
        <f t="shared" ca="1" si="9"/>
        <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f ca="1">ROUND(C5*C19*C20*C24*F39,0)</f>
        <v>1114</v>
      </c>
      <c r="D39" s="1538"/>
      <c r="E39" s="1051">
        <f t="shared" ca="1" si="7"/>
        <v>0</v>
      </c>
      <c r="F39" s="1065">
        <f>SUMIF(修正!A45:A56,G2,修正!H45:H56)</f>
        <v>0.15</v>
      </c>
      <c r="G39" s="1051">
        <f ca="1">ROUND(IF(E2="工业",C39*$M$39,C39*$M$38),0)</f>
        <v>279</v>
      </c>
      <c r="H39" s="1051">
        <f t="shared" si="8"/>
        <v>0</v>
      </c>
      <c r="I39" s="1051">
        <f t="shared" ca="1" si="9"/>
        <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972</v>
      </c>
      <c r="B45" s="2425">
        <f>1+E47</f>
        <v>1.0167999999999999</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估价对象周边商业氛围一般，无大型购物中心，人流量一般，商业繁华度一般。</v>
      </c>
      <c r="C47" s="1050" t="s">
        <v>3114</v>
      </c>
      <c r="D47" s="2417">
        <f t="shared" ref="D47:D55" si="10">SUMIF($J$46:$N$46,C47,J47:N47)</f>
        <v>0</v>
      </c>
      <c r="E47" s="2436">
        <f>ROUND(SUM(D47:D55),4)</f>
        <v>1.6799999999999999E-2</v>
      </c>
      <c r="F47" s="2437">
        <f>IF(E2="商业",SUMIF(L1:L12,G2,N1:N12),"——")</f>
        <v>0.14099999999999999</v>
      </c>
      <c r="G47" s="2415">
        <v>2.3E-2</v>
      </c>
      <c r="H47" s="2461">
        <f t="shared" ref="H47:H55" si="11">IFERROR(ROUNDDOWN(($F$47*I47/2),4),"——")</f>
        <v>2.3199999999999998E-2</v>
      </c>
      <c r="I47" s="2435">
        <v>0.33</v>
      </c>
      <c r="J47" s="2438">
        <f t="shared" ref="J47:J55" si="12">K47+$G47</f>
        <v>4.5999999999999999E-2</v>
      </c>
      <c r="K47" s="2438">
        <f t="shared" ref="K47:K55" si="13">$L47+$G47</f>
        <v>2.3E-2</v>
      </c>
      <c r="L47" s="2438">
        <v>0</v>
      </c>
      <c r="M47" s="2438">
        <f t="shared" ref="M47:N55" si="14">L47-$G47</f>
        <v>-2.3E-2</v>
      </c>
      <c r="N47" s="2438">
        <f t="shared" si="14"/>
        <v>-4.5999999999999999E-2</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估价对象周边道路状况一般，周边有820路;986路;郊87路等多条公交线路及地铁亦庄线经过，路网密集度一般，综合考虑估价对象交通便捷度较好。</v>
      </c>
      <c r="C48" s="1050" t="s">
        <v>3114</v>
      </c>
      <c r="D48" s="2417">
        <f t="shared" si="10"/>
        <v>0</v>
      </c>
      <c r="E48" s="2439"/>
      <c r="F48" s="2437"/>
      <c r="G48" s="2415">
        <v>1.7000000000000001E-2</v>
      </c>
      <c r="H48" s="2461">
        <f t="shared" si="11"/>
        <v>1.7600000000000001E-2</v>
      </c>
      <c r="I48" s="2435">
        <v>0.25</v>
      </c>
      <c r="J48" s="2438">
        <f t="shared" si="12"/>
        <v>3.4000000000000002E-2</v>
      </c>
      <c r="K48" s="2438">
        <f t="shared" si="13"/>
        <v>1.7000000000000001E-2</v>
      </c>
      <c r="L48" s="2438">
        <v>0</v>
      </c>
      <c r="M48" s="2438">
        <f t="shared" si="14"/>
        <v>-1.7000000000000001E-2</v>
      </c>
      <c r="N48" s="2438">
        <f t="shared" si="14"/>
        <v>-3.4000000000000002E-2</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t="s">
        <v>3114</v>
      </c>
      <c r="D49" s="2417">
        <f t="shared" si="10"/>
        <v>0</v>
      </c>
      <c r="E49" s="2439"/>
      <c r="F49" s="2437"/>
      <c r="G49" s="2415">
        <v>3.0000000000000001E-3</v>
      </c>
      <c r="H49" s="2461">
        <f t="shared" si="11"/>
        <v>3.5000000000000001E-3</v>
      </c>
      <c r="I49" s="2435">
        <v>0.05</v>
      </c>
      <c r="J49" s="2438">
        <f t="shared" si="12"/>
        <v>6.0000000000000001E-3</v>
      </c>
      <c r="K49" s="2438">
        <f t="shared" si="13"/>
        <v>3.0000000000000001E-3</v>
      </c>
      <c r="L49" s="2438">
        <v>0</v>
      </c>
      <c r="M49" s="2438">
        <f t="shared" si="14"/>
        <v>-3.0000000000000001E-3</v>
      </c>
      <c r="N49" s="2438">
        <f t="shared" si="14"/>
        <v>-6.0000000000000001E-3</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4" t="s">
        <v>2929</v>
      </c>
      <c r="C50" s="1050" t="s">
        <v>3171</v>
      </c>
      <c r="D50" s="2417">
        <f t="shared" si="10"/>
        <v>-3.2000000000000002E-3</v>
      </c>
      <c r="E50" s="2439"/>
      <c r="F50" s="2437"/>
      <c r="G50" s="2415">
        <v>3.2000000000000002E-3</v>
      </c>
      <c r="H50" s="2461">
        <f t="shared" si="11"/>
        <v>3.5000000000000001E-3</v>
      </c>
      <c r="I50" s="2435">
        <v>0.05</v>
      </c>
      <c r="J50" s="2438">
        <f t="shared" si="12"/>
        <v>6.4000000000000003E-3</v>
      </c>
      <c r="K50" s="2438">
        <f t="shared" si="13"/>
        <v>3.2000000000000002E-3</v>
      </c>
      <c r="L50" s="2438">
        <v>0</v>
      </c>
      <c r="M50" s="2438">
        <f t="shared" si="14"/>
        <v>-3.2000000000000002E-3</v>
      </c>
      <c r="N50" s="2438">
        <f t="shared" si="14"/>
        <v>-6.4000000000000003E-3</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t="s">
        <v>3112</v>
      </c>
      <c r="D51" s="2417">
        <f t="shared" si="10"/>
        <v>5.0000000000000001E-3</v>
      </c>
      <c r="E51" s="2439"/>
      <c r="F51" s="2437"/>
      <c r="G51" s="2415">
        <v>5.0000000000000001E-3</v>
      </c>
      <c r="H51" s="2461">
        <f t="shared" si="11"/>
        <v>5.5999999999999999E-3</v>
      </c>
      <c r="I51" s="2435">
        <v>0.08</v>
      </c>
      <c r="J51" s="2438">
        <f t="shared" si="12"/>
        <v>0.01</v>
      </c>
      <c r="K51" s="2438">
        <f t="shared" si="13"/>
        <v>5.0000000000000001E-3</v>
      </c>
      <c r="L51" s="2438">
        <v>0</v>
      </c>
      <c r="M51" s="2438">
        <f t="shared" si="14"/>
        <v>-5.0000000000000001E-3</v>
      </c>
      <c r="N51" s="2438">
        <f t="shared" si="14"/>
        <v>-0.01</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3" t="s">
        <v>2928</v>
      </c>
      <c r="C52" s="1050" t="s">
        <v>3112</v>
      </c>
      <c r="D52" s="2417">
        <f t="shared" si="10"/>
        <v>2E-3</v>
      </c>
      <c r="E52" s="2439"/>
      <c r="F52" s="2437"/>
      <c r="G52" s="2415">
        <v>2E-3</v>
      </c>
      <c r="H52" s="2461">
        <f t="shared" si="11"/>
        <v>2.0999999999999999E-3</v>
      </c>
      <c r="I52" s="2435">
        <v>0.03</v>
      </c>
      <c r="J52" s="2438">
        <f t="shared" si="12"/>
        <v>4.0000000000000001E-3</v>
      </c>
      <c r="K52" s="2438">
        <f t="shared" si="13"/>
        <v>2E-3</v>
      </c>
      <c r="L52" s="2438">
        <v>0</v>
      </c>
      <c r="M52" s="2438">
        <f t="shared" si="14"/>
        <v>-2E-3</v>
      </c>
      <c r="N52" s="2438">
        <f t="shared" si="14"/>
        <v>-4.0000000000000001E-3</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t="s">
        <v>3114</v>
      </c>
      <c r="D53" s="2417">
        <f t="shared" si="10"/>
        <v>0</v>
      </c>
      <c r="E53" s="2439"/>
      <c r="F53" s="2437"/>
      <c r="G53" s="2415">
        <v>3.2000000000000002E-3</v>
      </c>
      <c r="H53" s="2461">
        <f t="shared" si="11"/>
        <v>3.5000000000000001E-3</v>
      </c>
      <c r="I53" s="2435">
        <v>0.05</v>
      </c>
      <c r="J53" s="2438">
        <f t="shared" si="12"/>
        <v>6.4000000000000003E-3</v>
      </c>
      <c r="K53" s="2438">
        <f t="shared" si="13"/>
        <v>3.2000000000000002E-3</v>
      </c>
      <c r="L53" s="2438">
        <v>0</v>
      </c>
      <c r="M53" s="2438">
        <f t="shared" si="14"/>
        <v>-3.2000000000000002E-3</v>
      </c>
      <c r="N53" s="2438">
        <f t="shared" si="14"/>
        <v>-6.4000000000000003E-3</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估价对象所在区域基础设施水平达七通。</v>
      </c>
      <c r="C54" s="1050" t="s">
        <v>3172</v>
      </c>
      <c r="D54" s="2417">
        <f t="shared" si="10"/>
        <v>1.2999999999999999E-2</v>
      </c>
      <c r="E54" s="2439"/>
      <c r="F54" s="2437"/>
      <c r="G54" s="2415">
        <v>6.4999999999999997E-3</v>
      </c>
      <c r="H54" s="2461">
        <f t="shared" si="11"/>
        <v>7.0000000000000001E-3</v>
      </c>
      <c r="I54" s="2435">
        <v>0.1</v>
      </c>
      <c r="J54" s="2438">
        <f t="shared" si="12"/>
        <v>1.2999999999999999E-2</v>
      </c>
      <c r="K54" s="2438">
        <f t="shared" si="13"/>
        <v>6.4999999999999997E-3</v>
      </c>
      <c r="L54" s="2438">
        <v>0</v>
      </c>
      <c r="M54" s="2438">
        <f t="shared" si="14"/>
        <v>-6.4999999999999997E-3</v>
      </c>
      <c r="N54" s="2438">
        <f t="shared" si="14"/>
        <v>-1.2999999999999999E-2</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估价对象周边2公里内有亦庄湿地公园等，综合考虑自然及人文环境一般。</v>
      </c>
      <c r="C55" s="1050" t="s">
        <v>3114</v>
      </c>
      <c r="D55" s="2417">
        <f t="shared" si="10"/>
        <v>0</v>
      </c>
      <c r="E55" s="2443"/>
      <c r="F55" s="2437"/>
      <c r="G55" s="2415">
        <v>4.0000000000000001E-3</v>
      </c>
      <c r="H55" s="2461">
        <f t="shared" si="11"/>
        <v>4.1999999999999997E-3</v>
      </c>
      <c r="I55" s="2442">
        <v>0.06</v>
      </c>
      <c r="J55" s="2438">
        <f t="shared" si="12"/>
        <v>8.0000000000000002E-3</v>
      </c>
      <c r="K55" s="2438">
        <f t="shared" si="13"/>
        <v>4.0000000000000001E-3</v>
      </c>
      <c r="L55" s="2438">
        <v>0</v>
      </c>
      <c r="M55" s="2438">
        <f t="shared" si="14"/>
        <v>-4.0000000000000001E-3</v>
      </c>
      <c r="N55" s="2438">
        <f t="shared" si="14"/>
        <v>-8.0000000000000002E-3</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75" hidden="1" thickBot="1">
      <c r="A56" s="2424" t="s">
        <v>975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75" hidden="1" thickBot="1">
      <c r="A57" s="1067" t="s">
        <v>1005</v>
      </c>
      <c r="B57" s="2408"/>
      <c r="C57" s="2430" t="s">
        <v>1007</v>
      </c>
      <c r="D57" s="2431" t="s">
        <v>1008</v>
      </c>
      <c r="E57" s="2432" t="s">
        <v>1010</v>
      </c>
      <c r="F57" s="2433" t="s">
        <v>2248</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75" hidden="1" thickBot="1">
      <c r="A58" s="1067" t="s">
        <v>1027</v>
      </c>
      <c r="B58" s="2411" t="str">
        <f>估价对象房地状况!C17</f>
        <v>——</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75" hidden="1" thickBot="1">
      <c r="A59" s="1067" t="s">
        <v>1018</v>
      </c>
      <c r="B59" s="2408" t="str">
        <f>估价对象房地状况!C18</f>
        <v>估价对象周边道路状况一般，周边有820路;986路;郊87路等多条公交线路及地铁亦庄线经过，路网密集度一般，综合考虑估价对象交通便捷度较好。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75" hidden="1" thickBot="1">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75" hidden="1" thickBot="1">
      <c r="A61" s="1067" t="s">
        <v>1020</v>
      </c>
      <c r="B61" s="3094" t="s">
        <v>2929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75" hidden="1" thickBot="1">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75" hidden="1" thickBot="1">
      <c r="A63" s="1067" t="s">
        <v>1022</v>
      </c>
      <c r="B63" s="3093" t="s">
        <v>2928</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75" hidden="1" thickBot="1">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75" hidden="1" thickBot="1">
      <c r="A65" s="1067" t="s">
        <v>1024</v>
      </c>
      <c r="B65" s="2409" t="str">
        <f>估价对象房地状况!C22</f>
        <v>估价对象所在区域基础设施水平达七通。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41" t="s">
        <v>1025</v>
      </c>
      <c r="B66" s="2413" t="str">
        <f>估价对象房地状况!C20</f>
        <v>估价对象周边2公里内有亦庄湿地公园等，综合考虑自然及人文环境一般。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898</v>
      </c>
      <c r="B67" s="2425">
        <f>1+E69</f>
        <v>1.048</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2248</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估价对象周边居住社区成熟度一般，有次渠家园东里等居住社区。</v>
      </c>
      <c r="C69" s="1159" t="s">
        <v>3114</v>
      </c>
      <c r="D69" s="2417">
        <f t="shared" ref="D69:D77" si="20">SUMIF($J$68:$N$68,C69,J69:N69)</f>
        <v>0</v>
      </c>
      <c r="E69" s="2436">
        <f>ROUND(SUM(D69:D77),4)</f>
        <v>4.8000000000000001E-2</v>
      </c>
      <c r="F69" s="2437" t="str">
        <f>IF(E2="住宅",SUMIF(L1:L12,G2,N1:N12),"——")</f>
        <v>——</v>
      </c>
      <c r="G69" s="2418">
        <v>0.01</v>
      </c>
      <c r="H69" s="2462" t="str">
        <f t="shared" ref="H69:H77" si="21">IFERROR(ROUNDDOWN($F$69*I69/2,4),"——")</f>
        <v>——</v>
      </c>
      <c r="I69" s="2435">
        <v>0.14000000000000001</v>
      </c>
      <c r="J69" s="2438">
        <f t="shared" ref="J69:J77" si="22">K69+$G69</f>
        <v>0.02</v>
      </c>
      <c r="K69" s="2438">
        <f t="shared" ref="K69:K77" si="23">$L69+$G69</f>
        <v>0.01</v>
      </c>
      <c r="L69" s="2438">
        <v>0</v>
      </c>
      <c r="M69" s="2438">
        <f t="shared" ref="M69:N77" si="24">L69-$G69</f>
        <v>-0.01</v>
      </c>
      <c r="N69" s="2438">
        <f t="shared" si="24"/>
        <v>-0.02</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1018</v>
      </c>
      <c r="B70" s="2408" t="str">
        <f>估价对象房地状况!C18</f>
        <v>估价对象周边道路状况一般，周边有820路;986路;郊87路等多条公交线路及地铁亦庄线经过，路网密集度一般，综合考虑估价对象交通便捷度较好。</v>
      </c>
      <c r="C70" s="1159" t="s">
        <v>3112</v>
      </c>
      <c r="D70" s="2417">
        <f t="shared" si="20"/>
        <v>0.02</v>
      </c>
      <c r="E70" s="2445"/>
      <c r="F70" s="2446"/>
      <c r="G70" s="2418">
        <v>0.02</v>
      </c>
      <c r="H70" s="2462" t="str">
        <f t="shared" si="21"/>
        <v>——</v>
      </c>
      <c r="I70" s="2435">
        <v>0.3</v>
      </c>
      <c r="J70" s="2438">
        <f t="shared" si="22"/>
        <v>0.04</v>
      </c>
      <c r="K70" s="2438">
        <f t="shared" si="23"/>
        <v>0.02</v>
      </c>
      <c r="L70" s="2438">
        <v>0</v>
      </c>
      <c r="M70" s="2438">
        <f t="shared" si="24"/>
        <v>-0.02</v>
      </c>
      <c r="N70" s="2438">
        <f t="shared" si="24"/>
        <v>-0.04</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t="s">
        <v>3112</v>
      </c>
      <c r="D71" s="2417">
        <f t="shared" si="20"/>
        <v>5.4999999999999997E-3</v>
      </c>
      <c r="E71" s="2445"/>
      <c r="F71" s="2446"/>
      <c r="G71" s="2418">
        <v>5.4999999999999997E-3</v>
      </c>
      <c r="H71" s="2462" t="str">
        <f t="shared" si="21"/>
        <v>——</v>
      </c>
      <c r="I71" s="2435">
        <v>0.08</v>
      </c>
      <c r="J71" s="2438">
        <f t="shared" si="22"/>
        <v>1.0999999999999999E-2</v>
      </c>
      <c r="K71" s="2438">
        <f t="shared" si="23"/>
        <v>5.4999999999999997E-3</v>
      </c>
      <c r="L71" s="2438">
        <v>0</v>
      </c>
      <c r="M71" s="2438">
        <f t="shared" si="24"/>
        <v>-5.4999999999999997E-3</v>
      </c>
      <c r="N71" s="2438">
        <f t="shared" si="24"/>
        <v>-1.0999999999999999E-2</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t="s">
        <v>3112</v>
      </c>
      <c r="D72" s="2417">
        <f t="shared" si="20"/>
        <v>2.5000000000000001E-3</v>
      </c>
      <c r="E72" s="2445"/>
      <c r="F72" s="2446"/>
      <c r="G72" s="2418">
        <v>2.5000000000000001E-3</v>
      </c>
      <c r="H72" s="2462" t="str">
        <f t="shared" si="21"/>
        <v>——</v>
      </c>
      <c r="I72" s="2435">
        <v>0.04</v>
      </c>
      <c r="J72" s="2438">
        <f t="shared" si="22"/>
        <v>5.0000000000000001E-3</v>
      </c>
      <c r="K72" s="2438">
        <f t="shared" si="23"/>
        <v>2.5000000000000001E-3</v>
      </c>
      <c r="L72" s="2438">
        <v>0</v>
      </c>
      <c r="M72" s="2438">
        <f t="shared" si="24"/>
        <v>-2.5000000000000001E-3</v>
      </c>
      <c r="N72" s="2438">
        <f t="shared" si="24"/>
        <v>-5.0000000000000001E-3</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t="s">
        <v>3114</v>
      </c>
      <c r="D73" s="2417">
        <f t="shared" si="20"/>
        <v>0</v>
      </c>
      <c r="E73" s="2445"/>
      <c r="F73" s="2446"/>
      <c r="G73" s="2418">
        <v>5.4999999999999997E-3</v>
      </c>
      <c r="H73" s="2462" t="str">
        <f t="shared" si="21"/>
        <v>——</v>
      </c>
      <c r="I73" s="2435">
        <v>0.08</v>
      </c>
      <c r="J73" s="2438">
        <f t="shared" si="22"/>
        <v>1.0999999999999999E-2</v>
      </c>
      <c r="K73" s="2438">
        <f t="shared" si="23"/>
        <v>5.4999999999999997E-3</v>
      </c>
      <c r="L73" s="2438">
        <v>0</v>
      </c>
      <c r="M73" s="2438">
        <f t="shared" si="24"/>
        <v>-5.4999999999999997E-3</v>
      </c>
      <c r="N73" s="2438">
        <f t="shared" si="24"/>
        <v>-1.0999999999999999E-2</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估价对象所在区域基础设施水平达七通。</v>
      </c>
      <c r="C74" s="1159" t="s">
        <v>3172</v>
      </c>
      <c r="D74" s="2417">
        <f t="shared" si="20"/>
        <v>1.7000000000000001E-2</v>
      </c>
      <c r="E74" s="2445"/>
      <c r="F74" s="2446"/>
      <c r="G74" s="2418">
        <v>8.5000000000000006E-3</v>
      </c>
      <c r="H74" s="2462" t="str">
        <f t="shared" si="21"/>
        <v>——</v>
      </c>
      <c r="I74" s="2435">
        <v>0.12</v>
      </c>
      <c r="J74" s="2438">
        <f t="shared" si="22"/>
        <v>1.7000000000000001E-2</v>
      </c>
      <c r="K74" s="2438">
        <f t="shared" si="23"/>
        <v>8.5000000000000006E-3</v>
      </c>
      <c r="L74" s="2438">
        <v>0</v>
      </c>
      <c r="M74" s="2438">
        <f t="shared" si="24"/>
        <v>-8.5000000000000006E-3</v>
      </c>
      <c r="N74" s="2438">
        <f t="shared" si="24"/>
        <v>-1.7000000000000001E-2</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3" t="s">
        <v>2928</v>
      </c>
      <c r="C75" s="1159" t="s">
        <v>3112</v>
      </c>
      <c r="D75" s="2417">
        <f t="shared" si="20"/>
        <v>3.0000000000000001E-3</v>
      </c>
      <c r="E75" s="2445"/>
      <c r="F75" s="2446"/>
      <c r="G75" s="2418">
        <v>3.0000000000000001E-3</v>
      </c>
      <c r="H75" s="2462" t="str">
        <f t="shared" si="21"/>
        <v>——</v>
      </c>
      <c r="I75" s="2435">
        <v>0.05</v>
      </c>
      <c r="J75" s="2438">
        <f t="shared" si="22"/>
        <v>6.0000000000000001E-3</v>
      </c>
      <c r="K75" s="2438">
        <f t="shared" si="23"/>
        <v>3.0000000000000001E-3</v>
      </c>
      <c r="L75" s="2438">
        <v>0</v>
      </c>
      <c r="M75" s="2438">
        <f t="shared" si="24"/>
        <v>-3.0000000000000001E-3</v>
      </c>
      <c r="N75" s="2438">
        <f t="shared" si="24"/>
        <v>-6.0000000000000001E-3</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估价对象周边2公里内有亦庄湿地公园等，综合考虑自然及人文环境一般。</v>
      </c>
      <c r="C76" s="1159" t="s">
        <v>3114</v>
      </c>
      <c r="D76" s="2417">
        <f t="shared" si="20"/>
        <v>0</v>
      </c>
      <c r="E76" s="2445"/>
      <c r="F76" s="2446"/>
      <c r="G76" s="2418">
        <v>0.01</v>
      </c>
      <c r="H76" s="2462" t="str">
        <f t="shared" si="21"/>
        <v>——</v>
      </c>
      <c r="I76" s="2435">
        <v>0.15</v>
      </c>
      <c r="J76" s="2438">
        <f t="shared" si="22"/>
        <v>0.02</v>
      </c>
      <c r="K76" s="2438">
        <f t="shared" si="23"/>
        <v>0.01</v>
      </c>
      <c r="L76" s="2438">
        <v>0</v>
      </c>
      <c r="M76" s="2438">
        <f t="shared" si="24"/>
        <v>-0.01</v>
      </c>
      <c r="N76" s="2438">
        <f t="shared" si="24"/>
        <v>-0.02</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t="s">
        <v>3114</v>
      </c>
      <c r="D77" s="2417">
        <f t="shared" si="20"/>
        <v>0</v>
      </c>
      <c r="E77" s="2447"/>
      <c r="F77" s="2446"/>
      <c r="G77" s="2418">
        <v>2.5000000000000001E-3</v>
      </c>
      <c r="H77" s="2462" t="str">
        <f t="shared" si="21"/>
        <v>——</v>
      </c>
      <c r="I77" s="2442">
        <v>0.04</v>
      </c>
      <c r="J77" s="2438">
        <f t="shared" si="22"/>
        <v>5.0000000000000001E-3</v>
      </c>
      <c r="K77" s="2438">
        <f t="shared" si="23"/>
        <v>2.5000000000000001E-3</v>
      </c>
      <c r="L77" s="2438">
        <v>0</v>
      </c>
      <c r="M77" s="2438">
        <f t="shared" si="24"/>
        <v>-2.5000000000000001E-3</v>
      </c>
      <c r="N77" s="2438">
        <f t="shared" si="24"/>
        <v>-5.0000000000000001E-3</v>
      </c>
      <c r="AC77" s="1405"/>
      <c r="AD77" s="1404"/>
      <c r="AJ77" s="1403"/>
      <c r="AN77" s="1404"/>
    </row>
    <row r="78" spans="1:40" ht="15" hidden="1">
      <c r="A78" s="2424" t="s">
        <v>982</v>
      </c>
      <c r="B78" s="2425">
        <f>1+E80</f>
        <v>1</v>
      </c>
      <c r="C78" s="2444"/>
      <c r="D78" s="2427"/>
      <c r="E78" s="2428"/>
      <c r="F78" s="2429"/>
      <c r="G78" s="2423"/>
      <c r="H78" s="2423"/>
      <c r="I78" s="2423"/>
      <c r="J78" s="1066"/>
      <c r="K78" s="1066"/>
      <c r="L78" s="1066"/>
      <c r="M78" s="1066"/>
      <c r="N78" s="1066"/>
      <c r="AC78" s="1405"/>
      <c r="AD78" s="1404"/>
      <c r="AJ78" s="1403"/>
      <c r="AN78" s="1404"/>
    </row>
    <row r="79" spans="1:40" ht="24" hidden="1">
      <c r="A79" s="1067" t="s">
        <v>1005</v>
      </c>
      <c r="B79" s="2408"/>
      <c r="C79" s="2430" t="s">
        <v>1007</v>
      </c>
      <c r="D79" s="2431" t="s">
        <v>1008</v>
      </c>
      <c r="E79" s="2432" t="s">
        <v>1010</v>
      </c>
      <c r="F79" s="2433" t="s">
        <v>2248</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hidden="1">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hidden="1">
      <c r="A81" s="1067" t="s">
        <v>1018</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hidden="1">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hidden="1">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hidden="1">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hidden="1">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hidden="1">
      <c r="A86" s="1067" t="s">
        <v>1022</v>
      </c>
      <c r="B86" s="3093" t="s">
        <v>2928</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hidden="1"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30" t="s">
        <v>1630</v>
      </c>
      <c r="B90" s="3430"/>
      <c r="C90" s="3430"/>
      <c r="D90" s="3430"/>
      <c r="E90" s="3430"/>
      <c r="F90" s="3430"/>
      <c r="G90" s="3430"/>
      <c r="H90" s="3430"/>
      <c r="I90" s="3430"/>
      <c r="J90" s="3430"/>
      <c r="K90" s="3195"/>
      <c r="L90" s="3195"/>
      <c r="M90" s="3195"/>
      <c r="N90" s="3195"/>
    </row>
    <row r="91" spans="1:40">
      <c r="A91" s="3431" t="s">
        <v>894</v>
      </c>
      <c r="B91" s="3431" t="s">
        <v>1631</v>
      </c>
      <c r="C91" s="1140" t="s">
        <v>1632</v>
      </c>
      <c r="D91" s="1141"/>
      <c r="E91" s="1141"/>
      <c r="F91" s="1141"/>
      <c r="G91" s="1141"/>
      <c r="H91" s="1141"/>
      <c r="I91" s="1141"/>
      <c r="J91" s="1142"/>
      <c r="K91" s="1134"/>
      <c r="L91" s="1134"/>
      <c r="M91" s="1134"/>
      <c r="N91" s="1134"/>
    </row>
    <row r="92" spans="1:40">
      <c r="A92" s="3431"/>
      <c r="B92" s="3431"/>
      <c r="C92" s="3196" t="s">
        <v>880</v>
      </c>
      <c r="D92" s="3196" t="s">
        <v>881</v>
      </c>
      <c r="E92" s="3196" t="s">
        <v>882</v>
      </c>
      <c r="F92" s="3196" t="s">
        <v>883</v>
      </c>
      <c r="G92" s="3196" t="s">
        <v>884</v>
      </c>
      <c r="H92" s="3196" t="s">
        <v>885</v>
      </c>
      <c r="I92" s="3196" t="s">
        <v>886</v>
      </c>
      <c r="J92" s="3196" t="s">
        <v>887</v>
      </c>
      <c r="K92" s="3196" t="s">
        <v>888</v>
      </c>
      <c r="L92" s="3196" t="s">
        <v>889</v>
      </c>
      <c r="M92" s="3196" t="s">
        <v>890</v>
      </c>
      <c r="N92" s="3196" t="s">
        <v>891</v>
      </c>
    </row>
    <row r="93" spans="1:40">
      <c r="A93" s="3432"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1633</v>
      </c>
      <c r="C99" s="1145">
        <f>$I$3</f>
        <v>1</v>
      </c>
      <c r="D99" s="1145">
        <f t="shared" ref="D99:N99" si="30">$I$3</f>
        <v>1</v>
      </c>
      <c r="E99" s="1145">
        <f t="shared" si="30"/>
        <v>1</v>
      </c>
      <c r="F99" s="1145">
        <f t="shared" si="30"/>
        <v>1</v>
      </c>
      <c r="G99" s="1145">
        <f t="shared" si="30"/>
        <v>1</v>
      </c>
      <c r="H99" s="1145">
        <f t="shared" si="30"/>
        <v>1</v>
      </c>
      <c r="I99" s="1145">
        <f t="shared" si="30"/>
        <v>1</v>
      </c>
      <c r="J99" s="1145">
        <f t="shared" si="30"/>
        <v>1</v>
      </c>
      <c r="K99" s="1145">
        <f t="shared" si="30"/>
        <v>1</v>
      </c>
      <c r="L99" s="1145">
        <f t="shared" si="30"/>
        <v>1</v>
      </c>
      <c r="M99" s="1145">
        <f t="shared" si="30"/>
        <v>1</v>
      </c>
      <c r="N99" s="1145">
        <f t="shared" si="30"/>
        <v>1</v>
      </c>
    </row>
    <row r="100" spans="1:14">
      <c r="A100" s="3434"/>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432" t="s">
        <v>1634</v>
      </c>
      <c r="B101" s="1147" t="s">
        <v>879</v>
      </c>
      <c r="C101" s="1148">
        <f>$G$3</f>
        <v>2.82</v>
      </c>
      <c r="D101" s="1148">
        <f t="shared" ref="D101:N101" si="31">$G$3</f>
        <v>2.82</v>
      </c>
      <c r="E101" s="1148">
        <f t="shared" si="31"/>
        <v>2.82</v>
      </c>
      <c r="F101" s="1148">
        <f t="shared" si="31"/>
        <v>2.82</v>
      </c>
      <c r="G101" s="1148">
        <f t="shared" si="31"/>
        <v>2.82</v>
      </c>
      <c r="H101" s="1148">
        <f t="shared" si="31"/>
        <v>2.82</v>
      </c>
      <c r="I101" s="1148">
        <f t="shared" si="31"/>
        <v>2.82</v>
      </c>
      <c r="J101" s="1148">
        <f t="shared" si="31"/>
        <v>2.82</v>
      </c>
      <c r="K101" s="1148">
        <f t="shared" si="31"/>
        <v>2.82</v>
      </c>
      <c r="L101" s="1148">
        <f t="shared" si="31"/>
        <v>2.82</v>
      </c>
      <c r="M101" s="1148">
        <f t="shared" si="31"/>
        <v>2.82</v>
      </c>
      <c r="N101" s="1148">
        <f t="shared" si="31"/>
        <v>2.82</v>
      </c>
    </row>
    <row r="102" spans="1:14">
      <c r="A102" s="3433"/>
      <c r="B102" s="1143">
        <v>1</v>
      </c>
      <c r="C102" s="1144">
        <f>1.9362/C101</f>
        <v>0.68659574468085105</v>
      </c>
      <c r="D102" s="1144">
        <f>1.9362/D101</f>
        <v>0.68659574468085105</v>
      </c>
      <c r="E102" s="1144">
        <f>1.8629/E101</f>
        <v>0.66060283687943266</v>
      </c>
      <c r="F102" s="1144">
        <f>1.8629/F101</f>
        <v>0.66060283687943266</v>
      </c>
      <c r="G102" s="1144">
        <f>1.8629/G101</f>
        <v>0.66060283687943266</v>
      </c>
      <c r="H102" s="1144">
        <f>1.8629/H101</f>
        <v>0.66060283687943266</v>
      </c>
      <c r="I102" s="1144">
        <f>1.8629/I101</f>
        <v>0.66060283687943266</v>
      </c>
      <c r="J102" s="1144">
        <f>1.942/J101</f>
        <v>0.6886524822695036</v>
      </c>
      <c r="K102" s="1144">
        <f>1.942/K101</f>
        <v>0.6886524822695036</v>
      </c>
      <c r="L102" s="1144">
        <f>1.942/L101</f>
        <v>0.6886524822695036</v>
      </c>
      <c r="M102" s="1144">
        <f>1.942/M101</f>
        <v>0.6886524822695036</v>
      </c>
      <c r="N102" s="1144">
        <f>1.942/N101</f>
        <v>0.6886524822695036</v>
      </c>
    </row>
    <row r="103" spans="1:14">
      <c r="A103" s="3433"/>
      <c r="B103" s="1143">
        <v>2</v>
      </c>
      <c r="C103" s="1144">
        <f>1.4198/C101</f>
        <v>0.50347517730496461</v>
      </c>
      <c r="D103" s="1144">
        <f>1.4198/D101</f>
        <v>0.50347517730496461</v>
      </c>
      <c r="E103" s="1144">
        <f>1.3372/E101</f>
        <v>0.47418439716312055</v>
      </c>
      <c r="F103" s="1144">
        <f>1.3372/F101</f>
        <v>0.47418439716312055</v>
      </c>
      <c r="G103" s="1144">
        <f>1.3372/G101</f>
        <v>0.47418439716312055</v>
      </c>
      <c r="H103" s="1144">
        <f>1.3372/H101</f>
        <v>0.47418439716312055</v>
      </c>
      <c r="I103" s="1144">
        <f>1.3372/I101</f>
        <v>0.47418439716312055</v>
      </c>
      <c r="J103" s="1144">
        <f>1.2799/J101</f>
        <v>0.4538652482269504</v>
      </c>
      <c r="K103" s="1144">
        <f>1.2799/K101</f>
        <v>0.4538652482269504</v>
      </c>
      <c r="L103" s="1144">
        <f>1.2799/L101</f>
        <v>0.4538652482269504</v>
      </c>
      <c r="M103" s="1144">
        <f>1.2799/M101</f>
        <v>0.4538652482269504</v>
      </c>
      <c r="N103" s="1144">
        <f>1.2799/N101</f>
        <v>0.4538652482269504</v>
      </c>
    </row>
    <row r="104" spans="1:14">
      <c r="A104" s="3433"/>
      <c r="B104" s="1143">
        <v>3</v>
      </c>
      <c r="C104" s="1144">
        <f>1.1594/C101</f>
        <v>0.41113475177304964</v>
      </c>
      <c r="D104" s="1144">
        <f>1.1594/D101</f>
        <v>0.41113475177304964</v>
      </c>
      <c r="E104" s="1144">
        <f>1.0788/E101</f>
        <v>0.38255319148936173</v>
      </c>
      <c r="F104" s="1144">
        <f>1.0788/F101</f>
        <v>0.38255319148936173</v>
      </c>
      <c r="G104" s="1144">
        <f>1.0788/G101</f>
        <v>0.38255319148936173</v>
      </c>
      <c r="H104" s="1144">
        <f>1.0788/H101</f>
        <v>0.38255319148936173</v>
      </c>
      <c r="I104" s="1144">
        <f>1.0788/I101</f>
        <v>0.38255319148936173</v>
      </c>
      <c r="J104" s="1144">
        <f>1.0072/J101</f>
        <v>0.35716312056737592</v>
      </c>
      <c r="K104" s="1144">
        <f>1.0072/K101</f>
        <v>0.35716312056737592</v>
      </c>
      <c r="L104" s="1144">
        <f>1.0072/L101</f>
        <v>0.35716312056737592</v>
      </c>
      <c r="M104" s="1144">
        <f>1.0072/M101</f>
        <v>0.35716312056737592</v>
      </c>
      <c r="N104" s="1144">
        <f>1.0072/N101</f>
        <v>0.35716312056737592</v>
      </c>
    </row>
    <row r="105" spans="1:14">
      <c r="A105" s="3433"/>
      <c r="B105" s="1143">
        <v>4</v>
      </c>
      <c r="C105" s="1144">
        <f>0.9622/C101</f>
        <v>0.34120567375886529</v>
      </c>
      <c r="D105" s="1144">
        <f>0.9622/D101</f>
        <v>0.34120567375886529</v>
      </c>
      <c r="E105" s="1144">
        <f>0.8656/E101</f>
        <v>0.30695035460992909</v>
      </c>
      <c r="F105" s="1144">
        <f>0.8656/F101</f>
        <v>0.30695035460992909</v>
      </c>
      <c r="G105" s="1144">
        <f>0.8656/G101</f>
        <v>0.30695035460992909</v>
      </c>
      <c r="H105" s="1144">
        <f>0.8656/H101</f>
        <v>0.30695035460992909</v>
      </c>
      <c r="I105" s="1144">
        <f>0.8656/I101</f>
        <v>0.30695035460992909</v>
      </c>
      <c r="J105" s="1144">
        <f>0.7525/J101</f>
        <v>0.26684397163120566</v>
      </c>
      <c r="K105" s="1144">
        <f>0.7525/K101</f>
        <v>0.26684397163120566</v>
      </c>
      <c r="L105" s="1144">
        <f>0.7525/L101</f>
        <v>0.26684397163120566</v>
      </c>
      <c r="M105" s="1144">
        <f>0.7525/M101</f>
        <v>0.26684397163120566</v>
      </c>
      <c r="N105" s="1144">
        <f>0.7525/N101</f>
        <v>0.26684397163120566</v>
      </c>
    </row>
    <row r="106" spans="1:14">
      <c r="A106" s="3433"/>
      <c r="B106" s="1143">
        <v>5</v>
      </c>
      <c r="C106" s="1144">
        <f>0.8417/C101</f>
        <v>0.29847517730496453</v>
      </c>
      <c r="D106" s="1144">
        <f>0.8417/D101</f>
        <v>0.29847517730496453</v>
      </c>
      <c r="E106" s="1144">
        <f>0.7371/E101</f>
        <v>0.26138297872340427</v>
      </c>
      <c r="F106" s="1144">
        <f>0.7371/F101</f>
        <v>0.26138297872340427</v>
      </c>
      <c r="G106" s="1144">
        <f>0.7371/G101</f>
        <v>0.26138297872340427</v>
      </c>
      <c r="H106" s="1144">
        <f>0.7371/H101</f>
        <v>0.26138297872340427</v>
      </c>
      <c r="I106" s="1144">
        <f>0.7371/I101</f>
        <v>0.26138297872340427</v>
      </c>
      <c r="J106" s="1144">
        <f>0.5659/J101</f>
        <v>0.20067375886524821</v>
      </c>
      <c r="K106" s="1144">
        <f>0.5659/K101</f>
        <v>0.20067375886524821</v>
      </c>
      <c r="L106" s="1144">
        <f>0.5659/L101</f>
        <v>0.20067375886524821</v>
      </c>
      <c r="M106" s="1144">
        <f>0.5659/M101</f>
        <v>0.20067375886524821</v>
      </c>
      <c r="N106" s="1144">
        <f>0.5659/N101</f>
        <v>0.20067375886524821</v>
      </c>
    </row>
    <row r="107" spans="1:14">
      <c r="A107" s="3433"/>
      <c r="B107" s="1143">
        <v>6</v>
      </c>
      <c r="C107" s="1144">
        <f>0.7608/C101</f>
        <v>0.26978723404255323</v>
      </c>
      <c r="D107" s="1144">
        <f>0.7608/D101</f>
        <v>0.26978723404255323</v>
      </c>
      <c r="E107" s="1144">
        <f>0.6482/E101</f>
        <v>0.22985815602836882</v>
      </c>
      <c r="F107" s="1144">
        <f>0.6482/F101</f>
        <v>0.22985815602836882</v>
      </c>
      <c r="G107" s="1144">
        <f>0.6482/G101</f>
        <v>0.22985815602836882</v>
      </c>
      <c r="H107" s="1144">
        <f>0.6482/H101</f>
        <v>0.22985815602836882</v>
      </c>
      <c r="I107" s="1144">
        <f>0.6482/I101</f>
        <v>0.22985815602836882</v>
      </c>
      <c r="J107" s="1144">
        <f>0.4525/J101</f>
        <v>0.16046099290780144</v>
      </c>
      <c r="K107" s="1144">
        <f>0.4525/K101</f>
        <v>0.16046099290780144</v>
      </c>
      <c r="L107" s="1144">
        <f>0.4525/L101</f>
        <v>0.16046099290780144</v>
      </c>
      <c r="M107" s="1144">
        <f>0.4525/M101</f>
        <v>0.16046099290780144</v>
      </c>
      <c r="N107" s="1144">
        <f>0.4525/N101</f>
        <v>0.16046099290780144</v>
      </c>
    </row>
    <row r="108" spans="1:14">
      <c r="A108" s="3433"/>
      <c r="B108" s="3435" t="s">
        <v>1635</v>
      </c>
      <c r="C108" s="1145">
        <f>C99</f>
        <v>1</v>
      </c>
      <c r="D108" s="1145">
        <f t="shared" ref="D108:N108" si="32">D99</f>
        <v>1</v>
      </c>
      <c r="E108" s="1145">
        <f t="shared" si="32"/>
        <v>1</v>
      </c>
      <c r="F108" s="1145">
        <f t="shared" si="32"/>
        <v>1</v>
      </c>
      <c r="G108" s="1145">
        <f t="shared" si="32"/>
        <v>1</v>
      </c>
      <c r="H108" s="1145">
        <f t="shared" si="32"/>
        <v>1</v>
      </c>
      <c r="I108" s="1145">
        <f t="shared" si="32"/>
        <v>1</v>
      </c>
      <c r="J108" s="1145">
        <f t="shared" si="32"/>
        <v>1</v>
      </c>
      <c r="K108" s="1145">
        <f t="shared" si="32"/>
        <v>1</v>
      </c>
      <c r="L108" s="1145">
        <f t="shared" si="32"/>
        <v>1</v>
      </c>
      <c r="M108" s="1145">
        <f t="shared" si="32"/>
        <v>1</v>
      </c>
      <c r="N108" s="1145">
        <f t="shared" si="32"/>
        <v>1</v>
      </c>
    </row>
    <row r="109" spans="1:14">
      <c r="A109" s="3434"/>
      <c r="B109" s="3436"/>
      <c r="C109" s="1146">
        <f>(-0.163*(C108^2)-0.59*C108+7617)*(10^(-4))/C101</f>
        <v>0.27007968085106387</v>
      </c>
      <c r="D109" s="1146">
        <f>(-0.163*(D108^2)-0.59*D108+7617)*(10^(-4))/D101</f>
        <v>0.27007968085106387</v>
      </c>
      <c r="E109" s="1146">
        <f>(-0.161*(E108^2)-7.509*E108+6533)*(10^(-4))/E101</f>
        <v>0.23139468085106385</v>
      </c>
      <c r="F109" s="1146">
        <f>(-0.161*(F108^2)-7.509*F108+6533)*(10^(-4))/F101</f>
        <v>0.23139468085106385</v>
      </c>
      <c r="G109" s="1146">
        <f>(-0.161*(G108^2)-7.509*G108+6533)*(10^(-4))/G101</f>
        <v>0.23139468085106385</v>
      </c>
      <c r="H109" s="1146">
        <f>(-0.161*(H108^2)-7.509*H108+6533)*(10^(-4))/H101</f>
        <v>0.23139468085106385</v>
      </c>
      <c r="I109" s="1146">
        <f>(-0.161*(I108^2)-7.509*I108+6533)*(10^(-4))/I101</f>
        <v>0.23139468085106385</v>
      </c>
      <c r="J109" s="1146">
        <f>(-0.214*(J108^2)-21.991*J108+4665)*(10^(-4))/J101</f>
        <v>0.1646381205673759</v>
      </c>
      <c r="K109" s="1146">
        <f>(-0.214*(K108^2)-21.991*K108+4665)*(10^(-4))/K101</f>
        <v>0.1646381205673759</v>
      </c>
      <c r="L109" s="1146">
        <f>(-0.214*(L108^2)-21.991*L108+4665)*(10^(-4))/L101</f>
        <v>0.1646381205673759</v>
      </c>
      <c r="M109" s="1146">
        <f>(-0.214*(M108^2)-21.991*M108+4665)*(10^(-4))/M101</f>
        <v>0.1646381205673759</v>
      </c>
      <c r="N109" s="1146">
        <f>(-0.214*(N108^2)-21.991*N108+4665)*(10^(-4))/N101</f>
        <v>0.1646381205673759</v>
      </c>
    </row>
    <row r="110" spans="1:14">
      <c r="A110" s="3426" t="s">
        <v>1636</v>
      </c>
      <c r="B110" s="3426"/>
      <c r="C110" s="3426"/>
      <c r="D110" s="3426"/>
      <c r="E110" s="3426"/>
      <c r="F110" s="3426"/>
      <c r="G110" s="3426"/>
      <c r="H110" s="3426"/>
      <c r="I110" s="3426"/>
      <c r="J110" s="3426"/>
      <c r="K110" s="3194"/>
      <c r="L110" s="3194"/>
      <c r="M110" s="3194"/>
      <c r="N110" s="3194"/>
    </row>
    <row r="112" spans="1:14" ht="12.75" thickBot="1"/>
    <row r="113" spans="1:13" ht="25.5" thickBot="1">
      <c r="A113" s="1016" t="s">
        <v>892</v>
      </c>
      <c r="B113" s="2451">
        <f>G3</f>
        <v>2.82</v>
      </c>
      <c r="C113" s="1017" t="s">
        <v>893</v>
      </c>
      <c r="D113" s="1018">
        <f>SUMPRODUCT((A115:A118=F113)*(B114:M114=H113)*B115:M118)</f>
        <v>0.64529999999999998</v>
      </c>
      <c r="E113" s="1019" t="s">
        <v>894</v>
      </c>
      <c r="F113" s="1020" t="str">
        <f>E2</f>
        <v>商业</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0.90700000000000003</v>
      </c>
      <c r="C115" s="1030">
        <f>B115</f>
        <v>0.90700000000000003</v>
      </c>
      <c r="D115" s="1030">
        <f>ROUND(0.8331-0.0109*B113,4)</f>
        <v>0.8024</v>
      </c>
      <c r="E115" s="1030">
        <f>D115</f>
        <v>0.8024</v>
      </c>
      <c r="F115" s="1030">
        <f>E115</f>
        <v>0.8024</v>
      </c>
      <c r="G115" s="1030">
        <f>F115</f>
        <v>0.8024</v>
      </c>
      <c r="H115" s="1030">
        <f>G115</f>
        <v>0.8024</v>
      </c>
      <c r="I115" s="1030">
        <f>ROUND(0.689-0.0155*B113,4)</f>
        <v>0.64529999999999998</v>
      </c>
      <c r="J115" s="1030">
        <f t="shared" ref="J115:M118" si="33">I115</f>
        <v>0.64529999999999998</v>
      </c>
      <c r="K115" s="1030">
        <f t="shared" si="33"/>
        <v>0.64529999999999998</v>
      </c>
      <c r="L115" s="1030">
        <f t="shared" si="33"/>
        <v>0.64529999999999998</v>
      </c>
      <c r="M115" s="1031">
        <f t="shared" si="33"/>
        <v>0.64529999999999998</v>
      </c>
    </row>
    <row r="116" spans="1:13" ht="12.75">
      <c r="A116" s="1029" t="s">
        <v>897</v>
      </c>
      <c r="B116" s="1030">
        <f>ROUND(0.949-0.012*B113,4)</f>
        <v>0.91520000000000001</v>
      </c>
      <c r="C116" s="1030">
        <f>B116</f>
        <v>0.91520000000000001</v>
      </c>
      <c r="D116" s="1030">
        <f>ROUND(0.8567-0.013*B113,4)</f>
        <v>0.82</v>
      </c>
      <c r="E116" s="1030">
        <f t="shared" ref="E116:H117" si="34">D116</f>
        <v>0.82</v>
      </c>
      <c r="F116" s="1030">
        <f t="shared" si="34"/>
        <v>0.82</v>
      </c>
      <c r="G116" s="1030">
        <f t="shared" si="34"/>
        <v>0.82</v>
      </c>
      <c r="H116" s="1030">
        <f t="shared" si="34"/>
        <v>0.82</v>
      </c>
      <c r="I116" s="1030">
        <f>ROUND(0.7694-0.014*B113,4)</f>
        <v>0.72989999999999999</v>
      </c>
      <c r="J116" s="1030">
        <f t="shared" si="33"/>
        <v>0.72989999999999999</v>
      </c>
      <c r="K116" s="1030">
        <f t="shared" si="33"/>
        <v>0.72989999999999999</v>
      </c>
      <c r="L116" s="1030">
        <f t="shared" si="33"/>
        <v>0.72989999999999999</v>
      </c>
      <c r="M116" s="1031">
        <f t="shared" si="33"/>
        <v>0.72989999999999999</v>
      </c>
    </row>
    <row r="117" spans="1:13" ht="12.75">
      <c r="A117" s="1032" t="s">
        <v>898</v>
      </c>
      <c r="B117" s="1030">
        <f>ROUND(0.8808-0.006*B113,4)</f>
        <v>0.8639</v>
      </c>
      <c r="C117" s="1030">
        <f>B117</f>
        <v>0.8639</v>
      </c>
      <c r="D117" s="1030">
        <f>ROUND(0.8748-0.008*B113,4)</f>
        <v>0.85219999999999996</v>
      </c>
      <c r="E117" s="1030">
        <f t="shared" si="34"/>
        <v>0.85219999999999996</v>
      </c>
      <c r="F117" s="1030">
        <f t="shared" si="34"/>
        <v>0.85219999999999996</v>
      </c>
      <c r="G117" s="1030">
        <f t="shared" si="34"/>
        <v>0.85219999999999996</v>
      </c>
      <c r="H117" s="1030">
        <f t="shared" si="34"/>
        <v>0.85219999999999996</v>
      </c>
      <c r="I117" s="1030">
        <f>ROUND(0.7412-0.0095*B113,4)</f>
        <v>0.71440000000000003</v>
      </c>
      <c r="J117" s="1030">
        <f t="shared" si="33"/>
        <v>0.71440000000000003</v>
      </c>
      <c r="K117" s="1030">
        <f t="shared" si="33"/>
        <v>0.71440000000000003</v>
      </c>
      <c r="L117" s="1030">
        <f t="shared" si="33"/>
        <v>0.71440000000000003</v>
      </c>
      <c r="M117" s="1031">
        <f t="shared" si="33"/>
        <v>0.71440000000000003</v>
      </c>
    </row>
    <row r="118" spans="1:13" ht="13.5" thickBot="1">
      <c r="A118" s="1033" t="s">
        <v>899</v>
      </c>
      <c r="B118" s="1034">
        <f>ROUND(0.7275-0.01*B113,4)</f>
        <v>0.69930000000000003</v>
      </c>
      <c r="C118" s="1034">
        <f>B118</f>
        <v>0.69930000000000003</v>
      </c>
      <c r="D118" s="1034">
        <f>ROUND(0.7043-0.012*B113,4)</f>
        <v>0.67049999999999998</v>
      </c>
      <c r="E118" s="1034">
        <f>D118</f>
        <v>0.67049999999999998</v>
      </c>
      <c r="F118" s="1034">
        <f>E118</f>
        <v>0.67049999999999998</v>
      </c>
      <c r="G118" s="1034">
        <f>ROUND(0.6299-0.0122*B113,4)</f>
        <v>0.59550000000000003</v>
      </c>
      <c r="H118" s="1034">
        <f>G118</f>
        <v>0.59550000000000003</v>
      </c>
      <c r="I118" s="1034">
        <f>ROUND(0.5667-0.0136*B113,4)</f>
        <v>0.52829999999999999</v>
      </c>
      <c r="J118" s="1034">
        <f t="shared" si="33"/>
        <v>0.52829999999999999</v>
      </c>
      <c r="K118" s="1034">
        <f t="shared" si="33"/>
        <v>0.52829999999999999</v>
      </c>
      <c r="L118" s="1034">
        <f t="shared" si="33"/>
        <v>0.52829999999999999</v>
      </c>
      <c r="M118" s="1035">
        <f t="shared" si="33"/>
        <v>0.52829999999999999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C17" sqref="C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2424</v>
      </c>
      <c r="D1" s="1521">
        <f>SUM(D29:D30,D33:D39)</f>
        <v>124921.5</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6" t="s">
        <v>916</v>
      </c>
      <c r="B2" s="1038">
        <f ca="1">C26</f>
        <v>78987</v>
      </c>
      <c r="C2" s="1407" t="s">
        <v>917</v>
      </c>
      <c r="D2" s="1408" t="s">
        <v>918</v>
      </c>
      <c r="E2" s="1409" t="s">
        <v>919</v>
      </c>
      <c r="F2" s="1408" t="s">
        <v>920</v>
      </c>
      <c r="G2" s="1652" t="str">
        <f>IF(E2="商业",项目基本情况!B43,IF(E2="办公",项目基本情况!C43,IF(E2="住宅",项目基本情况!D43,项目基本情况!E43)))</f>
        <v>八级</v>
      </c>
      <c r="H2" s="1408" t="s">
        <v>922</v>
      </c>
      <c r="I2" s="1653" t="str">
        <f>IF(E2="商业",项目基本情况!B44,IF(E2="办公",项目基本情况!C44,IF(E2="住宅",项目基本情况!D44,项目基本情况!E44)))</f>
        <v>Ⅷ-亦1</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f ca="1">ROUND($C$5*$C$18*$C$19*$C$20*S2*$C$24,0)</f>
        <v>18188</v>
      </c>
      <c r="U2" s="2926"/>
      <c r="V2" s="2937">
        <f ca="1">ROUND(T2*U2/10000,0)</f>
        <v>0</v>
      </c>
      <c r="W2" s="2189"/>
      <c r="X2" s="2189"/>
      <c r="Y2" s="2189"/>
      <c r="Z2" s="2189"/>
      <c r="AA2" s="2189"/>
      <c r="AB2" s="2189"/>
      <c r="AC2" s="2190"/>
    </row>
    <row r="3" spans="1:39" ht="24">
      <c r="A3" s="1411" t="s">
        <v>1684</v>
      </c>
      <c r="B3" s="1038">
        <f ca="1">ROUND(B2*10000/D1,0)</f>
        <v>6323</v>
      </c>
      <c r="C3" s="1407" t="s">
        <v>923</v>
      </c>
      <c r="D3" s="1408" t="s">
        <v>924</v>
      </c>
      <c r="E3" s="1412" t="s">
        <v>3161</v>
      </c>
      <c r="F3" s="1413" t="s">
        <v>3162</v>
      </c>
      <c r="G3" s="1039">
        <f>IF(F3="宗地容积率",'数据-汇总表'!I4,IF(F3="估价对象容积率",'数据-汇总表'!I6,'数据-汇总表'!I7))</f>
        <v>2.82</v>
      </c>
      <c r="H3" s="1414" t="s">
        <v>925</v>
      </c>
      <c r="I3" s="1040"/>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f t="shared" ref="T3:T16" ca="1" si="0">ROUND($C$5*$C$18*$C$19*$C$20*S3*$C$24,0)</f>
        <v>11987</v>
      </c>
      <c r="U3" s="2926"/>
      <c r="V3" s="2937">
        <f t="shared" ref="V3:V16" ca="1" si="1">ROUND(T3*U3/10000,0)</f>
        <v>0</v>
      </c>
      <c r="W3" s="2189"/>
      <c r="X3" s="2189"/>
      <c r="Y3" s="2189"/>
      <c r="Z3" s="2189"/>
      <c r="AA3" s="2189"/>
      <c r="AB3" s="2189"/>
      <c r="AC3" s="2190"/>
    </row>
    <row r="4" spans="1:39" ht="28.5">
      <c r="A4" s="1891" t="s">
        <v>2278</v>
      </c>
      <c r="B4" s="2453" t="e">
        <f ca="1">ROUND(B2*10000/F1,0)</f>
        <v>#DIV/0!</v>
      </c>
      <c r="C4" s="1894" t="s">
        <v>2252</v>
      </c>
      <c r="D4" s="1894" t="e">
        <f ca="1">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f t="shared" ca="1" si="0"/>
        <v>9433</v>
      </c>
      <c r="U4" s="2926"/>
      <c r="V4" s="2937">
        <f t="shared" ca="1" si="1"/>
        <v>0</v>
      </c>
      <c r="W4" s="2189"/>
      <c r="X4" s="2189"/>
      <c r="Y4" s="2189"/>
      <c r="Z4" s="2189"/>
      <c r="AA4" s="2189"/>
      <c r="AB4" s="2189"/>
      <c r="AC4" s="2190"/>
    </row>
    <row r="5" spans="1:39" s="1421" customFormat="1" ht="15.75" thickBot="1">
      <c r="A5" s="1638" t="s">
        <v>1820</v>
      </c>
      <c r="B5" s="1415" t="s">
        <v>927</v>
      </c>
      <c r="C5" s="1041">
        <f>ROUND(IF(E2="商业",IF(F16="增加",C6*C7+C16,C6*C7-C16),IF(E2="住宅",IF(F16="增加",C6*C12+C16,C6*C12-C16),IF(F16="增加",C6+C16,C6-C16))),0)</f>
        <v>5760</v>
      </c>
      <c r="D5" s="3117">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f t="shared" ca="1" si="0"/>
        <v>7048</v>
      </c>
      <c r="U5" s="2926"/>
      <c r="V5" s="2937">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SUMIF(L1:L12,基准地价!G2,M1:M12)</f>
        <v>5810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f t="shared" ca="1" si="0"/>
        <v>5300</v>
      </c>
      <c r="U6" s="2926"/>
      <c r="V6" s="2937">
        <f t="shared" ca="1" si="1"/>
        <v>0</v>
      </c>
      <c r="W6" s="2189"/>
      <c r="X6" s="2189"/>
      <c r="Y6" s="2189"/>
      <c r="Z6" s="2189"/>
      <c r="AA6" s="2189"/>
      <c r="AB6" s="2189"/>
      <c r="AC6" s="2191"/>
      <c r="AD6" s="1419"/>
      <c r="AE6" s="1419"/>
      <c r="AF6" s="1419"/>
      <c r="AG6" s="1419"/>
      <c r="AH6" s="1419"/>
      <c r="AI6" s="1419"/>
      <c r="AJ6" s="1420"/>
    </row>
    <row r="7" spans="1:39" ht="24">
      <c r="A7" s="3419" t="str">
        <f>IF(E2="商业",IF(C8="不临58条商业街","",2),"")</f>
        <v/>
      </c>
      <c r="B7" s="1427" t="s">
        <v>928</v>
      </c>
      <c r="C7" s="1043">
        <f>IF(C8="不临58条商业街",1,ROUND(1+(1.6*E8+1.2*E9+0.8*E10+0.4*E11)*C9,4))</f>
        <v>1</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f t="shared" ca="1" si="0"/>
        <v>4238</v>
      </c>
      <c r="U7" s="2926"/>
      <c r="V7" s="2937">
        <f t="shared" ca="1" si="1"/>
        <v>0</v>
      </c>
      <c r="W7" s="2935" t="s">
        <v>2762</v>
      </c>
      <c r="X7" s="2927" t="str">
        <f>G2</f>
        <v>八级</v>
      </c>
      <c r="Y7" s="2927" t="s">
        <v>2763</v>
      </c>
      <c r="Z7" s="2928">
        <f>G3</f>
        <v>2.82</v>
      </c>
      <c r="AA7" s="2192"/>
      <c r="AB7" s="2192"/>
      <c r="AC7" s="2193"/>
      <c r="AD7" s="2929"/>
      <c r="AE7" s="2929"/>
      <c r="AF7" s="2929"/>
      <c r="AG7" s="2929"/>
      <c r="AH7" s="2929"/>
      <c r="AI7" s="2929"/>
      <c r="AJ7" s="2930"/>
    </row>
    <row r="8" spans="1:39" ht="25.5">
      <c r="A8" s="3420"/>
      <c r="B8" s="1414" t="s">
        <v>930</v>
      </c>
      <c r="C8" s="1529" t="s">
        <v>3163</v>
      </c>
      <c r="D8" s="1045" t="s">
        <v>931</v>
      </c>
      <c r="E8" s="1046" t="e">
        <f>ROUND(C11/E7,4)</f>
        <v>#DIV/0!</v>
      </c>
      <c r="F8" s="1432" t="s">
        <v>932</v>
      </c>
      <c r="G8" s="1433"/>
      <c r="H8" s="1433"/>
      <c r="I8" s="1433"/>
      <c r="J8" s="1434"/>
      <c r="K8" s="1401"/>
      <c r="L8" s="1885" t="s">
        <v>2243</v>
      </c>
      <c r="M8" s="1886">
        <f>SUMPRODUCT((区片价!B206:B244=I2)*(区片价!C3:F3=E2)*(区片价!C206:F244))</f>
        <v>5810</v>
      </c>
      <c r="N8" s="1887">
        <f>SUMPRODUCT((因素修正幅度!B206:B244=I2)*(因素修正幅度!C3:F3=E2)*(因素修正幅度!C206:F244))</f>
        <v>0.14499999999999999</v>
      </c>
      <c r="O8" s="2189"/>
      <c r="P8" s="2189"/>
      <c r="Q8" s="2189"/>
      <c r="R8" s="2937">
        <v>7</v>
      </c>
      <c r="S8" s="2926"/>
      <c r="T8" s="2937">
        <f t="shared" ca="1" si="0"/>
        <v>0</v>
      </c>
      <c r="U8" s="2926"/>
      <c r="V8" s="2937">
        <f t="shared" ca="1" si="1"/>
        <v>0</v>
      </c>
      <c r="W8" s="3421" t="s">
        <v>2780</v>
      </c>
      <c r="X8" s="3422"/>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0"/>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f t="shared" ca="1" si="0"/>
        <v>0</v>
      </c>
      <c r="U9" s="2926"/>
      <c r="V9" s="2937">
        <f t="shared" ca="1" si="1"/>
        <v>0</v>
      </c>
      <c r="W9" s="3423"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f t="shared" ca="1" si="0"/>
        <v>0</v>
      </c>
      <c r="U10" s="2926"/>
      <c r="V10" s="2937">
        <f t="shared" ca="1" si="1"/>
        <v>0</v>
      </c>
      <c r="W10" s="342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f t="shared" ca="1" si="0"/>
        <v>0</v>
      </c>
      <c r="U11" s="2926"/>
      <c r="V11" s="2937">
        <f t="shared" ca="1" si="1"/>
        <v>0</v>
      </c>
      <c r="W11" s="3423" t="s">
        <v>2778</v>
      </c>
      <c r="X11" s="1048" t="s">
        <v>2763</v>
      </c>
      <c r="Y11" s="1653">
        <f>$G$3</f>
        <v>2.82</v>
      </c>
      <c r="Z11" s="1653">
        <f t="shared" ref="Z11:AJ11" si="3">$G$3</f>
        <v>2.82</v>
      </c>
      <c r="AA11" s="1653">
        <f t="shared" si="3"/>
        <v>2.82</v>
      </c>
      <c r="AB11" s="1653">
        <f t="shared" si="3"/>
        <v>2.82</v>
      </c>
      <c r="AC11" s="1653">
        <f t="shared" si="3"/>
        <v>2.82</v>
      </c>
      <c r="AD11" s="1653">
        <f t="shared" si="3"/>
        <v>2.82</v>
      </c>
      <c r="AE11" s="1653">
        <f t="shared" si="3"/>
        <v>2.82</v>
      </c>
      <c r="AF11" s="1653">
        <f t="shared" si="3"/>
        <v>2.82</v>
      </c>
      <c r="AG11" s="1653">
        <f t="shared" si="3"/>
        <v>2.82</v>
      </c>
      <c r="AH11" s="1653">
        <f t="shared" si="3"/>
        <v>2.82</v>
      </c>
      <c r="AI11" s="1653">
        <f t="shared" si="3"/>
        <v>2.82</v>
      </c>
      <c r="AJ11" s="1653">
        <f t="shared" si="3"/>
        <v>2.82</v>
      </c>
    </row>
    <row r="12" spans="1:39" ht="25.5" thickBot="1">
      <c r="A12" s="3419"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f t="shared" ca="1" si="0"/>
        <v>0</v>
      </c>
      <c r="U12" s="2926"/>
      <c r="V12" s="2937">
        <f t="shared" ca="1" si="1"/>
        <v>0</v>
      </c>
      <c r="W12" s="342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4"/>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f t="shared" ca="1" si="0"/>
        <v>0</v>
      </c>
      <c r="U13" s="2926"/>
      <c r="V13" s="2937">
        <f t="shared" ca="1" si="1"/>
        <v>0</v>
      </c>
      <c r="W13" s="3423"/>
      <c r="X13" s="2934"/>
      <c r="Y13" s="2933">
        <f>(-0.163*(Y12^2)-0.59*Y12+7617)*(10^(-4))/Y11</f>
        <v>0.27010638297872341</v>
      </c>
      <c r="Z13" s="2933">
        <f t="shared" ref="Z13:AJ13" si="5">(-0.163*(Z12^2)-0.59*Z12+7617)*(10^(-4))/Z11</f>
        <v>0.27010638297872341</v>
      </c>
      <c r="AA13" s="2933">
        <f t="shared" si="5"/>
        <v>0.27010638297872341</v>
      </c>
      <c r="AB13" s="2933">
        <f t="shared" si="5"/>
        <v>0.27010638297872341</v>
      </c>
      <c r="AC13" s="2933">
        <f t="shared" si="5"/>
        <v>0.27010638297872341</v>
      </c>
      <c r="AD13" s="2933">
        <f t="shared" si="5"/>
        <v>0.27010638297872341</v>
      </c>
      <c r="AE13" s="2933">
        <f t="shared" si="5"/>
        <v>0.27010638297872341</v>
      </c>
      <c r="AF13" s="2933">
        <f t="shared" si="5"/>
        <v>0.27010638297872341</v>
      </c>
      <c r="AG13" s="2933">
        <f t="shared" si="5"/>
        <v>0.27010638297872341</v>
      </c>
      <c r="AH13" s="2933">
        <f t="shared" si="5"/>
        <v>0.27010638297872341</v>
      </c>
      <c r="AI13" s="2933">
        <f t="shared" si="5"/>
        <v>0.27010638297872341</v>
      </c>
      <c r="AJ13" s="2933">
        <f t="shared" si="5"/>
        <v>0.27010638297872341</v>
      </c>
    </row>
    <row r="14" spans="1:39" ht="12.75" customHeight="1" thickBot="1">
      <c r="A14" s="3424"/>
      <c r="B14" s="1451"/>
      <c r="C14" s="1452" t="s">
        <v>3053</v>
      </c>
      <c r="D14" s="1453" t="s">
        <v>3053</v>
      </c>
      <c r="E14" s="1453" t="s">
        <v>3053</v>
      </c>
      <c r="F14" s="1454" t="s">
        <v>3164</v>
      </c>
      <c r="G14" s="1455" t="s">
        <v>945</v>
      </c>
      <c r="H14" s="1456"/>
      <c r="I14" s="1457"/>
      <c r="J14" s="1458"/>
      <c r="K14" s="1401"/>
      <c r="L14" s="2189"/>
      <c r="M14" s="2189"/>
      <c r="N14" s="2189"/>
      <c r="O14" s="2189"/>
      <c r="P14" s="2189"/>
      <c r="Q14" s="2189"/>
      <c r="R14" s="2937">
        <v>13</v>
      </c>
      <c r="S14" s="2926"/>
      <c r="T14" s="2937">
        <f t="shared" ca="1" si="0"/>
        <v>0</v>
      </c>
      <c r="U14" s="2926"/>
      <c r="V14" s="2937">
        <f t="shared" ca="1" si="1"/>
        <v>0</v>
      </c>
      <c r="W14" s="2189"/>
      <c r="X14" s="2189"/>
      <c r="Y14" s="2189"/>
      <c r="Z14" s="2189"/>
      <c r="AA14" s="2189"/>
      <c r="AB14" s="2189"/>
      <c r="AC14" s="2190"/>
    </row>
    <row r="15" spans="1:39" ht="13.5" customHeight="1" thickBot="1">
      <c r="A15" s="3425"/>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89"/>
      <c r="R15" s="2937">
        <v>14</v>
      </c>
      <c r="S15" s="2926"/>
      <c r="T15" s="2937">
        <f t="shared" ca="1" si="0"/>
        <v>0</v>
      </c>
      <c r="U15" s="2926"/>
      <c r="V15" s="2937">
        <f t="shared" ca="1" si="1"/>
        <v>0</v>
      </c>
      <c r="W15" s="2189"/>
      <c r="X15" s="2189"/>
      <c r="Y15" s="2189"/>
      <c r="Z15" s="2189"/>
      <c r="AA15" s="2189"/>
      <c r="AB15" s="2189"/>
      <c r="AC15" s="2190"/>
    </row>
    <row r="16" spans="1:39" ht="24">
      <c r="A16" s="3419" t="s">
        <v>1835</v>
      </c>
      <c r="B16" s="1427" t="s">
        <v>946</v>
      </c>
      <c r="C16" s="1054">
        <f>ROUND(SUM(G17:J17)/C17,0)</f>
        <v>50</v>
      </c>
      <c r="D16" s="1460" t="s">
        <v>947</v>
      </c>
      <c r="E16" s="1461" t="s">
        <v>3165</v>
      </c>
      <c r="F16" s="1462" t="s">
        <v>3166</v>
      </c>
      <c r="G16" s="1463" t="s">
        <v>3167</v>
      </c>
      <c r="H16" s="1463" t="s">
        <v>3168</v>
      </c>
      <c r="I16" s="1463"/>
      <c r="J16" s="1463"/>
      <c r="K16" s="1401"/>
      <c r="L16" s="1464" t="s">
        <v>984</v>
      </c>
      <c r="M16" s="1047">
        <v>0.25</v>
      </c>
      <c r="N16" s="1047">
        <v>0.2</v>
      </c>
      <c r="O16" s="1047">
        <v>0.15</v>
      </c>
      <c r="P16" s="1539">
        <v>0.1</v>
      </c>
      <c r="Q16" s="2192"/>
      <c r="R16" s="2937">
        <v>15</v>
      </c>
      <c r="S16" s="2926"/>
      <c r="T16" s="2937">
        <f t="shared" ca="1" si="0"/>
        <v>0</v>
      </c>
      <c r="U16" s="2926"/>
      <c r="V16" s="2937">
        <f t="shared" ca="1" si="1"/>
        <v>0</v>
      </c>
      <c r="W16" s="2192"/>
      <c r="X16" s="2192"/>
      <c r="Y16" s="2192"/>
      <c r="Z16" s="2192"/>
      <c r="AA16" s="2192"/>
      <c r="AB16" s="2192"/>
      <c r="AC16" s="2193"/>
    </row>
    <row r="17" spans="1:40" ht="13.5" thickBot="1">
      <c r="A17" s="3420"/>
      <c r="B17" s="1465" t="s">
        <v>949</v>
      </c>
      <c r="C17" s="1055">
        <f>SUMPRODUCT((修正!A2:A5=E2)*(修正!B1:M1=G2)*(修正!B2:M5))</f>
        <v>1.5</v>
      </c>
      <c r="D17" s="1467" t="s">
        <v>950</v>
      </c>
      <c r="E17" s="1468" t="str">
        <f>IF(OR(G2="八级",G2="九级",G2="十级",G2="十一级",G2="十二级"),"五通一平","七通一平")</f>
        <v>五通一平</v>
      </c>
      <c r="F17" s="1466" t="s">
        <v>951</v>
      </c>
      <c r="G17" s="1055">
        <f>SUMPRODUCT((七通一平=G16)*(修正!B1:M1=G2)*(修正!B6:M14))</f>
        <v>50</v>
      </c>
      <c r="H17" s="1055">
        <f>SUMPRODUCT((七通一平=H16)*(修正!B1:M1=G2)*(修正!B6:M14))</f>
        <v>25</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772" t="s">
        <v>952</v>
      </c>
      <c r="C18" s="2773">
        <f>SUMIF(修正!C18:C39,E3,修正!E18:E39)</f>
        <v>1</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7">
        <f>ROUND(IF(H19="按公示增长率计算",SUMPRODUCT((地价!A3:A24=YEAR(G19)&amp;"-"&amp;ROUNDUP(MONTH(G19)/3,0))*(地价!X2:AB2=E2)*(地价!X3:AB24)),IF(H19="地价指数",M20/M19,(1+I19)^O19)),4)</f>
        <v>1.5531999999999999</v>
      </c>
      <c r="D19" s="1474" t="s">
        <v>954</v>
      </c>
      <c r="E19" s="1058">
        <v>41640</v>
      </c>
      <c r="F19" s="1474" t="s">
        <v>955</v>
      </c>
      <c r="G19" s="1059">
        <f>'数据-取费表'!B2</f>
        <v>43427</v>
      </c>
      <c r="H19" s="1475" t="s">
        <v>2927</v>
      </c>
      <c r="I19" s="2784" t="str">
        <f>IF(H19="季度增幅（自定义）",SUMIF(N21:N24,E2,O21:O24),"")</f>
        <v/>
      </c>
      <c r="J19" s="1471"/>
      <c r="K19" s="1481"/>
      <c r="L19" s="3038" t="s">
        <v>2838</v>
      </c>
      <c r="M19" s="3039">
        <f>ROUND(SUMIF(地价!B2:F2,E2,地价!B24:F24),0)</f>
        <v>423</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1833</v>
      </c>
      <c r="B20" s="2779" t="s">
        <v>968</v>
      </c>
      <c r="C20" s="2780">
        <f ca="1">ROUND(POWER(1+G20,J20-I20)*(POWER(1+G20,I20)-1)/(POWER(1+G20,J20)-1),4)</f>
        <v>0.99890000000000001</v>
      </c>
      <c r="D20" s="2781" t="s">
        <v>969</v>
      </c>
      <c r="E20" s="3092">
        <f ca="1">存贷款利率!I4/100</f>
        <v>4.3499999999999997E-2</v>
      </c>
      <c r="F20" s="2781" t="s">
        <v>970</v>
      </c>
      <c r="G20" s="2782">
        <f ca="1">SUMIF(M15:P15,E2,M17:P17)</f>
        <v>0.05</v>
      </c>
      <c r="H20" s="2781" t="s">
        <v>971</v>
      </c>
      <c r="I20" s="2771">
        <f>SUMIF('数据-取费表'!C6:C15,E2,'数据-取费表'!F6:F15)/COUNTIF('数据-取费表'!C6:C15,E2)</f>
        <v>69.37</v>
      </c>
      <c r="J20" s="2783">
        <f>IF(E2="住宅",70,IF(E2="商业",40,50))</f>
        <v>70</v>
      </c>
      <c r="K20" s="1481"/>
      <c r="L20" s="3040" t="s">
        <v>2839</v>
      </c>
      <c r="M20" s="3041">
        <f>ROUND(SUMPRODUCT((地价!A4:A24=YEAR(G19)&amp;"-"&amp;ROUNDUP(MONTH(G19)/3,0))*(地价!B2:F2=E2)*(地价!B4:F24)),0)</f>
        <v>657</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3169</v>
      </c>
      <c r="C21" s="1158">
        <f>IF(B21="容积率修正",IF(G3&lt;=10,D22,J22),C23)</f>
        <v>0.83540000000000003</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f>IF(E22=G22,F22,IF(G3&lt;=10,ROUND(F22+(H22-F22)*(G3-E22)/(G22-E22),4),"——"))</f>
        <v>0.83540000000000003</v>
      </c>
      <c r="E22" s="1039">
        <f>ROUNDDOWN(G3,1)</f>
        <v>2.8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039">
        <f>ROUNDUP(G3,1)</f>
        <v>2.9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0.82850000000000001</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1.048</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f ca="1">E29+SUM(E33:E39)</f>
        <v>78987</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f ca="1">E30+SUM(I33:I39)</f>
        <v>1107</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f ca="1">ROUND(C5*C18*C19*C20*C21*C24,0)</f>
        <v>7824</v>
      </c>
      <c r="D29" s="1504">
        <f>'数据-汇总表'!F19</f>
        <v>95293</v>
      </c>
      <c r="E29" s="1849">
        <f ca="1">ROUND(C29*D29/10000,0)</f>
        <v>74557</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f ca="1">ROUND(IF(E2="工业",C29*M39,C29*M38),0)</f>
        <v>1956</v>
      </c>
      <c r="D30" s="1510"/>
      <c r="E30" s="1849">
        <f ca="1">ROUND(C30*D30/10000,0)</f>
        <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7" t="s">
        <v>2953</v>
      </c>
      <c r="B33" s="1524" t="s">
        <v>996</v>
      </c>
      <c r="C33" s="1063">
        <f ca="1">ROUND(D5*C19*C20*C24*F33,0)</f>
        <v>0</v>
      </c>
      <c r="D33" s="1537"/>
      <c r="E33" s="1048">
        <f ca="1">ROUND(C33*D33/10000,0)</f>
        <v>0</v>
      </c>
      <c r="F33" s="1048">
        <f>SUMIF(修正!A45:A56,G2,修正!B45:B56)</f>
        <v>0.6</v>
      </c>
      <c r="G33" s="1048">
        <f t="shared" ref="G33" ca="1" si="6">ROUND(IF(E2="工业",C33*$M$39,C33*$M$38),0)</f>
        <v>0</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8"/>
      <c r="B34" s="1445" t="s">
        <v>997</v>
      </c>
      <c r="C34" s="1063">
        <f ca="1">ROUND(D5*C19*C20*C24*F34,0)</f>
        <v>0</v>
      </c>
      <c r="D34" s="1537"/>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8"/>
      <c r="B35" s="1445" t="s">
        <v>998</v>
      </c>
      <c r="C35" s="1063">
        <f ca="1">ROUND(D5*C19*C20*C24*F35,0)</f>
        <v>0</v>
      </c>
      <c r="D35" s="1537"/>
      <c r="E35" s="1048">
        <f t="shared" ca="1" si="7"/>
        <v>0</v>
      </c>
      <c r="F35" s="1048">
        <f>SUMIF(修正!A45:A56,G2,修正!D45:D56)</f>
        <v>0.2</v>
      </c>
      <c r="G35" s="1048">
        <f ca="1">ROUND(IF(E2="工业",C35*$M$39,C35*$M$38),0)</f>
        <v>0</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9"/>
      <c r="B36" s="1445" t="s">
        <v>999</v>
      </c>
      <c r="C36" s="1063">
        <f ca="1">ROUND(D5*C19*C20*C24*F36,0)</f>
        <v>0</v>
      </c>
      <c r="D36" s="1537"/>
      <c r="E36" s="1048">
        <f t="shared" ca="1" si="7"/>
        <v>0</v>
      </c>
      <c r="F36" s="1048">
        <f>SUMIF(修正!A45:A56,G2,修正!E45:E56)</f>
        <v>0.2</v>
      </c>
      <c r="G36" s="1048">
        <f ca="1">ROUND(IF(E2="工业",C36*$M$39,C36*$M$38),0)</f>
        <v>0</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f ca="1">ROUND(C5*C19*C20*C24*F37,0)</f>
        <v>1873</v>
      </c>
      <c r="D37" s="1537"/>
      <c r="E37" s="1048">
        <f t="shared" ca="1" si="7"/>
        <v>0</v>
      </c>
      <c r="F37" s="1063">
        <f>SUMIF(修正!A45:A56,G2,修正!F45:F56)</f>
        <v>0.2</v>
      </c>
      <c r="G37" s="1048">
        <f ca="1">ROUND(IF(E2="工业",C37*$M$39,C37*$M$38),0)</f>
        <v>468</v>
      </c>
      <c r="H37" s="1048">
        <f t="shared" si="8"/>
        <v>0</v>
      </c>
      <c r="I37" s="1048">
        <f t="shared" ca="1" si="9"/>
        <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f ca="1">ROUND(C5*C19*C20*C24*F38,0)</f>
        <v>1873</v>
      </c>
      <c r="D38" s="1537">
        <f>'数据-汇总表'!G21</f>
        <v>5719</v>
      </c>
      <c r="E38" s="1048">
        <f t="shared" ca="1" si="7"/>
        <v>1071</v>
      </c>
      <c r="F38" s="1063">
        <f>SUMIF(修正!A45:A56,G2,修正!G45:G56)</f>
        <v>0.2</v>
      </c>
      <c r="G38" s="1048">
        <f ca="1">ROUND(IF(E2="工业",C38*$M$39,C38*$M$38),0)</f>
        <v>468</v>
      </c>
      <c r="H38" s="1048">
        <f t="shared" si="8"/>
        <v>5719</v>
      </c>
      <c r="I38" s="1048">
        <f t="shared" ca="1" si="9"/>
        <v>268</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f ca="1">ROUND(C5*C19*C20*C24*F39,0)</f>
        <v>1405</v>
      </c>
      <c r="D39" s="1538">
        <f>'数据-汇总表'!G22</f>
        <v>23909.5</v>
      </c>
      <c r="E39" s="1051">
        <f t="shared" ca="1" si="7"/>
        <v>3359</v>
      </c>
      <c r="F39" s="1065">
        <f>SUMIF(修正!A45:A56,G2,修正!H45:H56)</f>
        <v>0.15</v>
      </c>
      <c r="G39" s="1051">
        <f ca="1">ROUND(IF(E2="工业",C39*$M$39,C39*$M$38),0)</f>
        <v>351</v>
      </c>
      <c r="H39" s="1051">
        <f t="shared" si="8"/>
        <v>23909.5</v>
      </c>
      <c r="I39" s="1051">
        <f t="shared" ca="1" si="9"/>
        <v>839</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1004</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估价对象周边商业氛围一般，无大型购物中心，人流量一般，商业繁华度一般。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估价对象周边道路状况一般，周边有820路;986路;郊87路等多条公交线路及地铁亦庄线经过，路网密集度一般，综合考虑估价对象交通便捷度较好。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4" t="s">
        <v>2929</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3" t="s">
        <v>2928</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估价对象所在区域基础设施水平达七通。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估价对象周边2公里内有亦庄湿地公园等，综合考虑自然及人文环境一般。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hidden="1">
      <c r="A56" s="2424" t="s">
        <v>1026</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hidden="1">
      <c r="A57" s="1067" t="s">
        <v>1005</v>
      </c>
      <c r="B57" s="2408"/>
      <c r="C57" s="2430" t="s">
        <v>1007</v>
      </c>
      <c r="D57" s="2431" t="s">
        <v>1008</v>
      </c>
      <c r="E57" s="2432" t="s">
        <v>1010</v>
      </c>
      <c r="F57" s="2433" t="s">
        <v>2249</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hidden="1">
      <c r="A58" s="1067" t="s">
        <v>1027</v>
      </c>
      <c r="B58" s="2411" t="str">
        <f>估价对象房地状况!C17</f>
        <v>——</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hidden="1">
      <c r="A59" s="1067" t="s">
        <v>1018</v>
      </c>
      <c r="B59" s="2408" t="str">
        <f>估价对象房地状况!C18</f>
        <v>估价对象周边道路状况一般，周边有820路;986路;郊87路等多条公交线路及地铁亦庄线经过，路网密集度一般，综合考虑估价对象交通便捷度较好。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hidden="1">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hidden="1">
      <c r="A61" s="1067" t="s">
        <v>1020</v>
      </c>
      <c r="B61" s="3094" t="s">
        <v>2930</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hidden="1">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hidden="1">
      <c r="A63" s="1067" t="s">
        <v>1022</v>
      </c>
      <c r="B63" s="3093" t="s">
        <v>2928</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hidden="1">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hidden="1">
      <c r="A65" s="1067" t="s">
        <v>1024</v>
      </c>
      <c r="B65" s="2409" t="str">
        <f>估价对象房地状况!C22</f>
        <v>估价对象所在区域基础设施水平达七通。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41" t="s">
        <v>1025</v>
      </c>
      <c r="B66" s="2413" t="str">
        <f>估价对象房地状况!C20</f>
        <v>估价对象周边2公里内有亦庄湿地公园等，综合考虑自然及人文环境一般。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1028</v>
      </c>
      <c r="B67" s="2425">
        <f>1+E69</f>
        <v>1.048</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2250</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估价对象周边居住社区成熟度一般，有次渠家园东里等居住社区。</v>
      </c>
      <c r="C69" s="1159" t="s">
        <v>3114</v>
      </c>
      <c r="D69" s="2417">
        <f t="shared" ref="D69:D77" si="20">SUMIF($J$68:$N$68,C69,J69:N69)</f>
        <v>0</v>
      </c>
      <c r="E69" s="2436">
        <f>ROUND(SUM(D69:D77),4)</f>
        <v>4.8000000000000001E-2</v>
      </c>
      <c r="F69" s="2437">
        <f>IF(E2="住宅",SUMIF(L1:L12,G2,N1:N12),"——")</f>
        <v>0.14499999999999999</v>
      </c>
      <c r="G69" s="2418">
        <v>0.01</v>
      </c>
      <c r="H69" s="2462">
        <f t="shared" ref="H69:H77" si="21">IFERROR(ROUNDDOWN($F$69*I69/2,4),"——")</f>
        <v>1.01E-2</v>
      </c>
      <c r="I69" s="2435">
        <v>0.14000000000000001</v>
      </c>
      <c r="J69" s="2438">
        <f t="shared" ref="J69:J77" si="22">K69+$G69</f>
        <v>0.02</v>
      </c>
      <c r="K69" s="2438">
        <f t="shared" ref="K69:K77" si="23">$L69+$G69</f>
        <v>0.01</v>
      </c>
      <c r="L69" s="2438">
        <v>0</v>
      </c>
      <c r="M69" s="2438">
        <f t="shared" ref="M69:N77" si="24">L69-$G69</f>
        <v>-0.01</v>
      </c>
      <c r="N69" s="2438">
        <f t="shared" si="24"/>
        <v>-0.02</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1030</v>
      </c>
      <c r="B70" s="2408" t="str">
        <f>估价对象房地状况!C18</f>
        <v>估价对象周边道路状况一般，周边有820路;986路;郊87路等多条公交线路及地铁亦庄线经过，路网密集度一般，综合考虑估价对象交通便捷度较好。</v>
      </c>
      <c r="C70" s="1159" t="s">
        <v>3112</v>
      </c>
      <c r="D70" s="2417">
        <f t="shared" si="20"/>
        <v>0.02</v>
      </c>
      <c r="E70" s="2445"/>
      <c r="F70" s="2446"/>
      <c r="G70" s="2418">
        <v>0.02</v>
      </c>
      <c r="H70" s="2462">
        <f t="shared" si="21"/>
        <v>2.1700000000000001E-2</v>
      </c>
      <c r="I70" s="2435">
        <v>0.3</v>
      </c>
      <c r="J70" s="2438">
        <f t="shared" si="22"/>
        <v>0.04</v>
      </c>
      <c r="K70" s="2438">
        <f t="shared" si="23"/>
        <v>0.02</v>
      </c>
      <c r="L70" s="2438">
        <v>0</v>
      </c>
      <c r="M70" s="2438">
        <f t="shared" si="24"/>
        <v>-0.02</v>
      </c>
      <c r="N70" s="2438">
        <f t="shared" si="24"/>
        <v>-0.04</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t="s">
        <v>3112</v>
      </c>
      <c r="D71" s="2417">
        <f t="shared" si="20"/>
        <v>5.4999999999999997E-3</v>
      </c>
      <c r="E71" s="2445"/>
      <c r="F71" s="2446"/>
      <c r="G71" s="2418">
        <v>5.4999999999999997E-3</v>
      </c>
      <c r="H71" s="2462">
        <f t="shared" si="21"/>
        <v>5.7999999999999996E-3</v>
      </c>
      <c r="I71" s="2435">
        <v>0.08</v>
      </c>
      <c r="J71" s="2438">
        <f t="shared" si="22"/>
        <v>1.0999999999999999E-2</v>
      </c>
      <c r="K71" s="2438">
        <f t="shared" si="23"/>
        <v>5.4999999999999997E-3</v>
      </c>
      <c r="L71" s="2438">
        <v>0</v>
      </c>
      <c r="M71" s="2438">
        <f t="shared" si="24"/>
        <v>-5.4999999999999997E-3</v>
      </c>
      <c r="N71" s="2438">
        <f t="shared" si="24"/>
        <v>-1.0999999999999999E-2</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t="s">
        <v>3112</v>
      </c>
      <c r="D72" s="2417">
        <f t="shared" si="20"/>
        <v>2.5000000000000001E-3</v>
      </c>
      <c r="E72" s="2445"/>
      <c r="F72" s="2446"/>
      <c r="G72" s="2418">
        <v>2.5000000000000001E-3</v>
      </c>
      <c r="H72" s="2462">
        <f t="shared" si="21"/>
        <v>2.8999999999999998E-3</v>
      </c>
      <c r="I72" s="2435">
        <v>0.04</v>
      </c>
      <c r="J72" s="2438">
        <f t="shared" si="22"/>
        <v>5.0000000000000001E-3</v>
      </c>
      <c r="K72" s="2438">
        <f t="shared" si="23"/>
        <v>2.5000000000000001E-3</v>
      </c>
      <c r="L72" s="2438">
        <v>0</v>
      </c>
      <c r="M72" s="2438">
        <f t="shared" si="24"/>
        <v>-2.5000000000000001E-3</v>
      </c>
      <c r="N72" s="2438">
        <f t="shared" si="24"/>
        <v>-5.0000000000000001E-3</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t="s">
        <v>3114</v>
      </c>
      <c r="D73" s="2417">
        <f t="shared" si="20"/>
        <v>0</v>
      </c>
      <c r="E73" s="2445"/>
      <c r="F73" s="2446"/>
      <c r="G73" s="2418">
        <v>5.4999999999999997E-3</v>
      </c>
      <c r="H73" s="2462">
        <f t="shared" si="21"/>
        <v>5.7999999999999996E-3</v>
      </c>
      <c r="I73" s="2435">
        <v>0.08</v>
      </c>
      <c r="J73" s="2438">
        <f t="shared" si="22"/>
        <v>1.0999999999999999E-2</v>
      </c>
      <c r="K73" s="2438">
        <f t="shared" si="23"/>
        <v>5.4999999999999997E-3</v>
      </c>
      <c r="L73" s="2438">
        <v>0</v>
      </c>
      <c r="M73" s="2438">
        <f t="shared" si="24"/>
        <v>-5.4999999999999997E-3</v>
      </c>
      <c r="N73" s="2438">
        <f t="shared" si="24"/>
        <v>-1.0999999999999999E-2</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估价对象所在区域基础设施水平达七通。</v>
      </c>
      <c r="C74" s="1159" t="s">
        <v>3172</v>
      </c>
      <c r="D74" s="2417">
        <f t="shared" si="20"/>
        <v>1.7000000000000001E-2</v>
      </c>
      <c r="E74" s="2445"/>
      <c r="F74" s="2446"/>
      <c r="G74" s="2418">
        <v>8.5000000000000006E-3</v>
      </c>
      <c r="H74" s="2462">
        <f t="shared" si="21"/>
        <v>8.6999999999999994E-3</v>
      </c>
      <c r="I74" s="2435">
        <v>0.12</v>
      </c>
      <c r="J74" s="2438">
        <f t="shared" si="22"/>
        <v>1.7000000000000001E-2</v>
      </c>
      <c r="K74" s="2438">
        <f t="shared" si="23"/>
        <v>8.5000000000000006E-3</v>
      </c>
      <c r="L74" s="2438">
        <v>0</v>
      </c>
      <c r="M74" s="2438">
        <f t="shared" si="24"/>
        <v>-8.5000000000000006E-3</v>
      </c>
      <c r="N74" s="2438">
        <f t="shared" si="24"/>
        <v>-1.7000000000000001E-2</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3" t="s">
        <v>2928</v>
      </c>
      <c r="C75" s="1159" t="s">
        <v>3112</v>
      </c>
      <c r="D75" s="2417">
        <f t="shared" si="20"/>
        <v>3.0000000000000001E-3</v>
      </c>
      <c r="E75" s="2445"/>
      <c r="F75" s="2446"/>
      <c r="G75" s="2418">
        <v>3.0000000000000001E-3</v>
      </c>
      <c r="H75" s="2462">
        <f t="shared" si="21"/>
        <v>3.5999999999999999E-3</v>
      </c>
      <c r="I75" s="2435">
        <v>0.05</v>
      </c>
      <c r="J75" s="2438">
        <f t="shared" si="22"/>
        <v>6.0000000000000001E-3</v>
      </c>
      <c r="K75" s="2438">
        <f t="shared" si="23"/>
        <v>3.0000000000000001E-3</v>
      </c>
      <c r="L75" s="2438">
        <v>0</v>
      </c>
      <c r="M75" s="2438">
        <f t="shared" si="24"/>
        <v>-3.0000000000000001E-3</v>
      </c>
      <c r="N75" s="2438">
        <f t="shared" si="24"/>
        <v>-6.0000000000000001E-3</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估价对象周边2公里内有亦庄湿地公园等，综合考虑自然及人文环境一般。</v>
      </c>
      <c r="C76" s="1159" t="s">
        <v>3114</v>
      </c>
      <c r="D76" s="2417">
        <f t="shared" si="20"/>
        <v>0</v>
      </c>
      <c r="E76" s="2445"/>
      <c r="F76" s="2446"/>
      <c r="G76" s="2418">
        <v>0.01</v>
      </c>
      <c r="H76" s="2462">
        <f t="shared" si="21"/>
        <v>1.0800000000000001E-2</v>
      </c>
      <c r="I76" s="2435">
        <v>0.15</v>
      </c>
      <c r="J76" s="2438">
        <f t="shared" si="22"/>
        <v>0.02</v>
      </c>
      <c r="K76" s="2438">
        <f t="shared" si="23"/>
        <v>0.01</v>
      </c>
      <c r="L76" s="2438">
        <v>0</v>
      </c>
      <c r="M76" s="2438">
        <f t="shared" si="24"/>
        <v>-0.01</v>
      </c>
      <c r="N76" s="2438">
        <f t="shared" si="24"/>
        <v>-0.02</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t="s">
        <v>3114</v>
      </c>
      <c r="D77" s="2417">
        <f t="shared" si="20"/>
        <v>0</v>
      </c>
      <c r="E77" s="2447"/>
      <c r="F77" s="2446"/>
      <c r="G77" s="2418">
        <v>2.5000000000000001E-3</v>
      </c>
      <c r="H77" s="2462">
        <f t="shared" si="21"/>
        <v>2.8999999999999998E-3</v>
      </c>
      <c r="I77" s="2442">
        <v>0.04</v>
      </c>
      <c r="J77" s="2438">
        <f t="shared" si="22"/>
        <v>5.0000000000000001E-3</v>
      </c>
      <c r="K77" s="2438">
        <f t="shared" si="23"/>
        <v>2.5000000000000001E-3</v>
      </c>
      <c r="L77" s="2438">
        <v>0</v>
      </c>
      <c r="M77" s="2438">
        <f t="shared" si="24"/>
        <v>-2.5000000000000001E-3</v>
      </c>
      <c r="N77" s="2438">
        <f t="shared" si="24"/>
        <v>-5.0000000000000001E-3</v>
      </c>
      <c r="AC77" s="1405"/>
      <c r="AD77" s="1404"/>
      <c r="AJ77" s="1403"/>
      <c r="AN77" s="1404"/>
    </row>
    <row r="78" spans="1:40" ht="15" hidden="1">
      <c r="A78" s="2424" t="s">
        <v>1033</v>
      </c>
      <c r="B78" s="2425">
        <f>1+E80</f>
        <v>1</v>
      </c>
      <c r="C78" s="2444"/>
      <c r="D78" s="2427"/>
      <c r="E78" s="2428"/>
      <c r="F78" s="2429"/>
      <c r="G78" s="2423"/>
      <c r="H78" s="2423"/>
      <c r="I78" s="2423"/>
      <c r="J78" s="1066"/>
      <c r="K78" s="1066"/>
      <c r="L78" s="1066"/>
      <c r="M78" s="1066"/>
      <c r="N78" s="1066"/>
      <c r="AC78" s="1405"/>
      <c r="AD78" s="1404"/>
      <c r="AJ78" s="1403"/>
      <c r="AN78" s="1404"/>
    </row>
    <row r="79" spans="1:40" ht="24" hidden="1">
      <c r="A79" s="1067" t="s">
        <v>1005</v>
      </c>
      <c r="B79" s="2408"/>
      <c r="C79" s="2430" t="s">
        <v>1007</v>
      </c>
      <c r="D79" s="2431" t="s">
        <v>1008</v>
      </c>
      <c r="E79" s="2432" t="s">
        <v>1010</v>
      </c>
      <c r="F79" s="2433" t="s">
        <v>2251</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hidden="1">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hidden="1">
      <c r="A81" s="1067" t="s">
        <v>1030</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hidden="1">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hidden="1">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hidden="1">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hidden="1">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hidden="1">
      <c r="A86" s="1067" t="s">
        <v>1022</v>
      </c>
      <c r="B86" s="3093" t="s">
        <v>2928</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hidden="1"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30" t="s">
        <v>1630</v>
      </c>
      <c r="B90" s="3430"/>
      <c r="C90" s="3430"/>
      <c r="D90" s="3430"/>
      <c r="E90" s="3430"/>
      <c r="F90" s="3430"/>
      <c r="G90" s="3430"/>
      <c r="H90" s="3430"/>
      <c r="I90" s="3430"/>
      <c r="J90" s="3430"/>
      <c r="K90" s="2450"/>
      <c r="L90" s="2450"/>
      <c r="M90" s="2450"/>
      <c r="N90" s="2450"/>
    </row>
    <row r="91" spans="1:40">
      <c r="A91" s="3431" t="s">
        <v>1440</v>
      </c>
      <c r="B91" s="3431" t="s">
        <v>1631</v>
      </c>
      <c r="C91" s="1140" t="s">
        <v>1632</v>
      </c>
      <c r="D91" s="1141"/>
      <c r="E91" s="1141"/>
      <c r="F91" s="1141"/>
      <c r="G91" s="1141"/>
      <c r="H91" s="1141"/>
      <c r="I91" s="1141"/>
      <c r="J91" s="1142"/>
      <c r="K91" s="1134"/>
      <c r="L91" s="1134"/>
      <c r="M91" s="1134"/>
      <c r="N91" s="1134"/>
    </row>
    <row r="92" spans="1:40">
      <c r="A92" s="3431"/>
      <c r="B92" s="3431"/>
      <c r="C92" s="2449" t="s">
        <v>903</v>
      </c>
      <c r="D92" s="2449" t="s">
        <v>881</v>
      </c>
      <c r="E92" s="2449" t="s">
        <v>882</v>
      </c>
      <c r="F92" s="2449" t="s">
        <v>906</v>
      </c>
      <c r="G92" s="2449" t="s">
        <v>884</v>
      </c>
      <c r="H92" s="2449" t="s">
        <v>885</v>
      </c>
      <c r="I92" s="2449" t="s">
        <v>886</v>
      </c>
      <c r="J92" s="2449" t="s">
        <v>887</v>
      </c>
      <c r="K92" s="2449" t="s">
        <v>911</v>
      </c>
      <c r="L92" s="2449" t="s">
        <v>889</v>
      </c>
      <c r="M92" s="2449" t="s">
        <v>890</v>
      </c>
      <c r="N92" s="2449" t="s">
        <v>914</v>
      </c>
    </row>
    <row r="93" spans="1:40">
      <c r="A93" s="3432"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1633</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434"/>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32" t="s">
        <v>1634</v>
      </c>
      <c r="B101" s="1147" t="s">
        <v>902</v>
      </c>
      <c r="C101" s="1148">
        <f>$G$3</f>
        <v>2.82</v>
      </c>
      <c r="D101" s="1148">
        <f t="shared" ref="D101:N101" si="31">$G$3</f>
        <v>2.82</v>
      </c>
      <c r="E101" s="1148">
        <f t="shared" si="31"/>
        <v>2.82</v>
      </c>
      <c r="F101" s="1148">
        <f t="shared" si="31"/>
        <v>2.82</v>
      </c>
      <c r="G101" s="1148">
        <f t="shared" si="31"/>
        <v>2.82</v>
      </c>
      <c r="H101" s="1148">
        <f t="shared" si="31"/>
        <v>2.82</v>
      </c>
      <c r="I101" s="1148">
        <f t="shared" si="31"/>
        <v>2.82</v>
      </c>
      <c r="J101" s="1148">
        <f t="shared" si="31"/>
        <v>2.82</v>
      </c>
      <c r="K101" s="1148">
        <f t="shared" si="31"/>
        <v>2.82</v>
      </c>
      <c r="L101" s="1148">
        <f t="shared" si="31"/>
        <v>2.82</v>
      </c>
      <c r="M101" s="1148">
        <f t="shared" si="31"/>
        <v>2.82</v>
      </c>
      <c r="N101" s="1148">
        <f t="shared" si="31"/>
        <v>2.82</v>
      </c>
    </row>
    <row r="102" spans="1:14">
      <c r="A102" s="3433"/>
      <c r="B102" s="1143">
        <v>1</v>
      </c>
      <c r="C102" s="1144">
        <f>1.9362/C101</f>
        <v>0.68659574468085105</v>
      </c>
      <c r="D102" s="1144">
        <f>1.9362/D101</f>
        <v>0.68659574468085105</v>
      </c>
      <c r="E102" s="1144">
        <f>1.8629/E101</f>
        <v>0.66060283687943266</v>
      </c>
      <c r="F102" s="1144">
        <f>1.8629/F101</f>
        <v>0.66060283687943266</v>
      </c>
      <c r="G102" s="1144">
        <f>1.8629/G101</f>
        <v>0.66060283687943266</v>
      </c>
      <c r="H102" s="1144">
        <f>1.8629/H101</f>
        <v>0.66060283687943266</v>
      </c>
      <c r="I102" s="1144">
        <f>1.8629/I101</f>
        <v>0.66060283687943266</v>
      </c>
      <c r="J102" s="1144">
        <f>1.942/J101</f>
        <v>0.6886524822695036</v>
      </c>
      <c r="K102" s="1144">
        <f>1.942/K101</f>
        <v>0.6886524822695036</v>
      </c>
      <c r="L102" s="1144">
        <f>1.942/L101</f>
        <v>0.6886524822695036</v>
      </c>
      <c r="M102" s="1144">
        <f>1.942/M101</f>
        <v>0.6886524822695036</v>
      </c>
      <c r="N102" s="1144">
        <f>1.942/N101</f>
        <v>0.6886524822695036</v>
      </c>
    </row>
    <row r="103" spans="1:14">
      <c r="A103" s="3433"/>
      <c r="B103" s="1143">
        <v>2</v>
      </c>
      <c r="C103" s="1144">
        <f>1.4198/C101</f>
        <v>0.50347517730496461</v>
      </c>
      <c r="D103" s="1144">
        <f>1.4198/D101</f>
        <v>0.50347517730496461</v>
      </c>
      <c r="E103" s="1144">
        <f>1.3372/E101</f>
        <v>0.47418439716312055</v>
      </c>
      <c r="F103" s="1144">
        <f>1.3372/F101</f>
        <v>0.47418439716312055</v>
      </c>
      <c r="G103" s="1144">
        <f>1.3372/G101</f>
        <v>0.47418439716312055</v>
      </c>
      <c r="H103" s="1144">
        <f>1.3372/H101</f>
        <v>0.47418439716312055</v>
      </c>
      <c r="I103" s="1144">
        <f>1.3372/I101</f>
        <v>0.47418439716312055</v>
      </c>
      <c r="J103" s="1144">
        <f>1.2799/J101</f>
        <v>0.4538652482269504</v>
      </c>
      <c r="K103" s="1144">
        <f>1.2799/K101</f>
        <v>0.4538652482269504</v>
      </c>
      <c r="L103" s="1144">
        <f>1.2799/L101</f>
        <v>0.4538652482269504</v>
      </c>
      <c r="M103" s="1144">
        <f>1.2799/M101</f>
        <v>0.4538652482269504</v>
      </c>
      <c r="N103" s="1144">
        <f>1.2799/N101</f>
        <v>0.4538652482269504</v>
      </c>
    </row>
    <row r="104" spans="1:14">
      <c r="A104" s="3433"/>
      <c r="B104" s="1143">
        <v>3</v>
      </c>
      <c r="C104" s="1144">
        <f>1.1594/C101</f>
        <v>0.41113475177304964</v>
      </c>
      <c r="D104" s="1144">
        <f>1.1594/D101</f>
        <v>0.41113475177304964</v>
      </c>
      <c r="E104" s="1144">
        <f>1.0788/E101</f>
        <v>0.38255319148936173</v>
      </c>
      <c r="F104" s="1144">
        <f>1.0788/F101</f>
        <v>0.38255319148936173</v>
      </c>
      <c r="G104" s="1144">
        <f>1.0788/G101</f>
        <v>0.38255319148936173</v>
      </c>
      <c r="H104" s="1144">
        <f>1.0788/H101</f>
        <v>0.38255319148936173</v>
      </c>
      <c r="I104" s="1144">
        <f>1.0788/I101</f>
        <v>0.38255319148936173</v>
      </c>
      <c r="J104" s="1144">
        <f>1.0072/J101</f>
        <v>0.35716312056737592</v>
      </c>
      <c r="K104" s="1144">
        <f>1.0072/K101</f>
        <v>0.35716312056737592</v>
      </c>
      <c r="L104" s="1144">
        <f>1.0072/L101</f>
        <v>0.35716312056737592</v>
      </c>
      <c r="M104" s="1144">
        <f>1.0072/M101</f>
        <v>0.35716312056737592</v>
      </c>
      <c r="N104" s="1144">
        <f>1.0072/N101</f>
        <v>0.35716312056737592</v>
      </c>
    </row>
    <row r="105" spans="1:14">
      <c r="A105" s="3433"/>
      <c r="B105" s="1143">
        <v>4</v>
      </c>
      <c r="C105" s="1144">
        <f>0.9622/C101</f>
        <v>0.34120567375886529</v>
      </c>
      <c r="D105" s="1144">
        <f>0.9622/D101</f>
        <v>0.34120567375886529</v>
      </c>
      <c r="E105" s="1144">
        <f>0.8656/E101</f>
        <v>0.30695035460992909</v>
      </c>
      <c r="F105" s="1144">
        <f>0.8656/F101</f>
        <v>0.30695035460992909</v>
      </c>
      <c r="G105" s="1144">
        <f>0.8656/G101</f>
        <v>0.30695035460992909</v>
      </c>
      <c r="H105" s="1144">
        <f>0.8656/H101</f>
        <v>0.30695035460992909</v>
      </c>
      <c r="I105" s="1144">
        <f>0.8656/I101</f>
        <v>0.30695035460992909</v>
      </c>
      <c r="J105" s="1144">
        <f>0.7525/J101</f>
        <v>0.26684397163120566</v>
      </c>
      <c r="K105" s="1144">
        <f>0.7525/K101</f>
        <v>0.26684397163120566</v>
      </c>
      <c r="L105" s="1144">
        <f>0.7525/L101</f>
        <v>0.26684397163120566</v>
      </c>
      <c r="M105" s="1144">
        <f>0.7525/M101</f>
        <v>0.26684397163120566</v>
      </c>
      <c r="N105" s="1144">
        <f>0.7525/N101</f>
        <v>0.26684397163120566</v>
      </c>
    </row>
    <row r="106" spans="1:14">
      <c r="A106" s="3433"/>
      <c r="B106" s="1143">
        <v>5</v>
      </c>
      <c r="C106" s="1144">
        <f>0.8417/C101</f>
        <v>0.29847517730496453</v>
      </c>
      <c r="D106" s="1144">
        <f>0.8417/D101</f>
        <v>0.29847517730496453</v>
      </c>
      <c r="E106" s="1144">
        <f>0.7371/E101</f>
        <v>0.26138297872340427</v>
      </c>
      <c r="F106" s="1144">
        <f>0.7371/F101</f>
        <v>0.26138297872340427</v>
      </c>
      <c r="G106" s="1144">
        <f>0.7371/G101</f>
        <v>0.26138297872340427</v>
      </c>
      <c r="H106" s="1144">
        <f>0.7371/H101</f>
        <v>0.26138297872340427</v>
      </c>
      <c r="I106" s="1144">
        <f>0.7371/I101</f>
        <v>0.26138297872340427</v>
      </c>
      <c r="J106" s="1144">
        <f>0.5659/J101</f>
        <v>0.20067375886524821</v>
      </c>
      <c r="K106" s="1144">
        <f>0.5659/K101</f>
        <v>0.20067375886524821</v>
      </c>
      <c r="L106" s="1144">
        <f>0.5659/L101</f>
        <v>0.20067375886524821</v>
      </c>
      <c r="M106" s="1144">
        <f>0.5659/M101</f>
        <v>0.20067375886524821</v>
      </c>
      <c r="N106" s="1144">
        <f>0.5659/N101</f>
        <v>0.20067375886524821</v>
      </c>
    </row>
    <row r="107" spans="1:14">
      <c r="A107" s="3433"/>
      <c r="B107" s="1143">
        <v>6</v>
      </c>
      <c r="C107" s="1144">
        <f>0.7608/C101</f>
        <v>0.26978723404255323</v>
      </c>
      <c r="D107" s="1144">
        <f>0.7608/D101</f>
        <v>0.26978723404255323</v>
      </c>
      <c r="E107" s="1144">
        <f>0.6482/E101</f>
        <v>0.22985815602836882</v>
      </c>
      <c r="F107" s="1144">
        <f>0.6482/F101</f>
        <v>0.22985815602836882</v>
      </c>
      <c r="G107" s="1144">
        <f>0.6482/G101</f>
        <v>0.22985815602836882</v>
      </c>
      <c r="H107" s="1144">
        <f>0.6482/H101</f>
        <v>0.22985815602836882</v>
      </c>
      <c r="I107" s="1144">
        <f>0.6482/I101</f>
        <v>0.22985815602836882</v>
      </c>
      <c r="J107" s="1144">
        <f>0.4525/J101</f>
        <v>0.16046099290780144</v>
      </c>
      <c r="K107" s="1144">
        <f>0.4525/K101</f>
        <v>0.16046099290780144</v>
      </c>
      <c r="L107" s="1144">
        <f>0.4525/L101</f>
        <v>0.16046099290780144</v>
      </c>
      <c r="M107" s="1144">
        <f>0.4525/M101</f>
        <v>0.16046099290780144</v>
      </c>
      <c r="N107" s="1144">
        <f>0.4525/N101</f>
        <v>0.16046099290780144</v>
      </c>
    </row>
    <row r="108" spans="1:14">
      <c r="A108" s="3433"/>
      <c r="B108" s="3435" t="s">
        <v>1635</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434"/>
      <c r="B109" s="3436"/>
      <c r="C109" s="1146">
        <f>(-0.163*(C108^2)-0.59*C108+7617)*(10^(-4))/C101</f>
        <v>0.27010638297872341</v>
      </c>
      <c r="D109" s="1146">
        <f>(-0.163*(D108^2)-0.59*D108+7617)*(10^(-4))/D101</f>
        <v>0.27010638297872341</v>
      </c>
      <c r="E109" s="1146">
        <f>(-0.161*(E108^2)-7.509*E108+6533)*(10^(-4))/E101</f>
        <v>0.23166666666666669</v>
      </c>
      <c r="F109" s="1146">
        <f>(-0.161*(F108^2)-7.509*F108+6533)*(10^(-4))/F101</f>
        <v>0.23166666666666669</v>
      </c>
      <c r="G109" s="1146">
        <f>(-0.161*(G108^2)-7.509*G108+6533)*(10^(-4))/G101</f>
        <v>0.23166666666666669</v>
      </c>
      <c r="H109" s="1146">
        <f>(-0.161*(H108^2)-7.509*H108+6533)*(10^(-4))/H101</f>
        <v>0.23166666666666669</v>
      </c>
      <c r="I109" s="1146">
        <f>(-0.161*(I108^2)-7.509*I108+6533)*(10^(-4))/I101</f>
        <v>0.23166666666666669</v>
      </c>
      <c r="J109" s="1146">
        <f>(-0.214*(J108^2)-21.991*J108+4665)*(10^(-4))/J101</f>
        <v>0.16542553191489365</v>
      </c>
      <c r="K109" s="1146">
        <f>(-0.214*(K108^2)-21.991*K108+4665)*(10^(-4))/K101</f>
        <v>0.16542553191489365</v>
      </c>
      <c r="L109" s="1146">
        <f>(-0.214*(L108^2)-21.991*L108+4665)*(10^(-4))/L101</f>
        <v>0.16542553191489365</v>
      </c>
      <c r="M109" s="1146">
        <f>(-0.214*(M108^2)-21.991*M108+4665)*(10^(-4))/M101</f>
        <v>0.16542553191489365</v>
      </c>
      <c r="N109" s="1146">
        <f>(-0.214*(N108^2)-21.991*N108+4665)*(10^(-4))/N101</f>
        <v>0.16542553191489365</v>
      </c>
    </row>
    <row r="110" spans="1:14">
      <c r="A110" s="3426" t="s">
        <v>1636</v>
      </c>
      <c r="B110" s="3426"/>
      <c r="C110" s="3426"/>
      <c r="D110" s="3426"/>
      <c r="E110" s="3426"/>
      <c r="F110" s="3426"/>
      <c r="G110" s="3426"/>
      <c r="H110" s="3426"/>
      <c r="I110" s="3426"/>
      <c r="J110" s="3426"/>
      <c r="K110" s="2448"/>
      <c r="L110" s="2448"/>
      <c r="M110" s="2448"/>
      <c r="N110" s="2448"/>
    </row>
    <row r="112" spans="1:14" ht="12.75" thickBot="1"/>
    <row r="113" spans="1:13" ht="25.5" thickBot="1">
      <c r="A113" s="1016" t="s">
        <v>892</v>
      </c>
      <c r="B113" s="2451">
        <f>G3</f>
        <v>2.82</v>
      </c>
      <c r="C113" s="1017" t="s">
        <v>893</v>
      </c>
      <c r="D113" s="1018">
        <f>SUMPRODUCT((A115:A118=F113)*(B114:M114=H113)*B115:M118)</f>
        <v>0.71440000000000003</v>
      </c>
      <c r="E113" s="1019" t="s">
        <v>894</v>
      </c>
      <c r="F113" s="1020" t="str">
        <f>E2</f>
        <v>住宅</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0.90700000000000003</v>
      </c>
      <c r="C115" s="1030">
        <f>B115</f>
        <v>0.90700000000000003</v>
      </c>
      <c r="D115" s="1030">
        <f>ROUND(0.8331-0.0109*B113,4)</f>
        <v>0.8024</v>
      </c>
      <c r="E115" s="1030">
        <f>D115</f>
        <v>0.8024</v>
      </c>
      <c r="F115" s="1030">
        <f>E115</f>
        <v>0.8024</v>
      </c>
      <c r="G115" s="1030">
        <f>F115</f>
        <v>0.8024</v>
      </c>
      <c r="H115" s="1030">
        <f>G115</f>
        <v>0.8024</v>
      </c>
      <c r="I115" s="1030">
        <f>ROUND(0.689-0.0155*B113,4)</f>
        <v>0.64529999999999998</v>
      </c>
      <c r="J115" s="1030">
        <f t="shared" ref="J115:M118" si="33">I115</f>
        <v>0.64529999999999998</v>
      </c>
      <c r="K115" s="1030">
        <f t="shared" si="33"/>
        <v>0.64529999999999998</v>
      </c>
      <c r="L115" s="1030">
        <f t="shared" si="33"/>
        <v>0.64529999999999998</v>
      </c>
      <c r="M115" s="1031">
        <f t="shared" si="33"/>
        <v>0.64529999999999998</v>
      </c>
    </row>
    <row r="116" spans="1:13" ht="12.75">
      <c r="A116" s="1029" t="s">
        <v>897</v>
      </c>
      <c r="B116" s="1030">
        <f>ROUND(0.949-0.012*B113,4)</f>
        <v>0.91520000000000001</v>
      </c>
      <c r="C116" s="1030">
        <f>B116</f>
        <v>0.91520000000000001</v>
      </c>
      <c r="D116" s="1030">
        <f>ROUND(0.8567-0.013*B113,4)</f>
        <v>0.82</v>
      </c>
      <c r="E116" s="1030">
        <f t="shared" ref="E116:H117" si="34">D116</f>
        <v>0.82</v>
      </c>
      <c r="F116" s="1030">
        <f t="shared" si="34"/>
        <v>0.82</v>
      </c>
      <c r="G116" s="1030">
        <f t="shared" si="34"/>
        <v>0.82</v>
      </c>
      <c r="H116" s="1030">
        <f t="shared" si="34"/>
        <v>0.82</v>
      </c>
      <c r="I116" s="1030">
        <f>ROUND(0.7694-0.014*B113,4)</f>
        <v>0.72989999999999999</v>
      </c>
      <c r="J116" s="1030">
        <f t="shared" si="33"/>
        <v>0.72989999999999999</v>
      </c>
      <c r="K116" s="1030">
        <f t="shared" si="33"/>
        <v>0.72989999999999999</v>
      </c>
      <c r="L116" s="1030">
        <f t="shared" si="33"/>
        <v>0.72989999999999999</v>
      </c>
      <c r="M116" s="1031">
        <f t="shared" si="33"/>
        <v>0.72989999999999999</v>
      </c>
    </row>
    <row r="117" spans="1:13" ht="12.75">
      <c r="A117" s="1032" t="s">
        <v>898</v>
      </c>
      <c r="B117" s="1030">
        <f>ROUND(0.8808-0.006*B113,4)</f>
        <v>0.8639</v>
      </c>
      <c r="C117" s="1030">
        <f>B117</f>
        <v>0.8639</v>
      </c>
      <c r="D117" s="1030">
        <f>ROUND(0.8748-0.008*B113,4)</f>
        <v>0.85219999999999996</v>
      </c>
      <c r="E117" s="1030">
        <f t="shared" si="34"/>
        <v>0.85219999999999996</v>
      </c>
      <c r="F117" s="1030">
        <f t="shared" si="34"/>
        <v>0.85219999999999996</v>
      </c>
      <c r="G117" s="1030">
        <f t="shared" si="34"/>
        <v>0.85219999999999996</v>
      </c>
      <c r="H117" s="1030">
        <f t="shared" si="34"/>
        <v>0.85219999999999996</v>
      </c>
      <c r="I117" s="1030">
        <f>ROUND(0.7412-0.0095*B113,4)</f>
        <v>0.71440000000000003</v>
      </c>
      <c r="J117" s="1030">
        <f t="shared" si="33"/>
        <v>0.71440000000000003</v>
      </c>
      <c r="K117" s="1030">
        <f t="shared" si="33"/>
        <v>0.71440000000000003</v>
      </c>
      <c r="L117" s="1030">
        <f t="shared" si="33"/>
        <v>0.71440000000000003</v>
      </c>
      <c r="M117" s="1031">
        <f t="shared" si="33"/>
        <v>0.71440000000000003</v>
      </c>
    </row>
    <row r="118" spans="1:13" ht="13.5" thickBot="1">
      <c r="A118" s="1033" t="s">
        <v>899</v>
      </c>
      <c r="B118" s="1034">
        <f>ROUND(0.7275-0.01*B113,4)</f>
        <v>0.69930000000000003</v>
      </c>
      <c r="C118" s="1034">
        <f>B118</f>
        <v>0.69930000000000003</v>
      </c>
      <c r="D118" s="1034">
        <f>ROUND(0.7043-0.012*B113,4)</f>
        <v>0.67049999999999998</v>
      </c>
      <c r="E118" s="1034">
        <f>D118</f>
        <v>0.67049999999999998</v>
      </c>
      <c r="F118" s="1034">
        <f>E118</f>
        <v>0.67049999999999998</v>
      </c>
      <c r="G118" s="1034">
        <f>ROUND(0.6299-0.0122*B113,4)</f>
        <v>0.59550000000000003</v>
      </c>
      <c r="H118" s="1034">
        <f>G118</f>
        <v>0.59550000000000003</v>
      </c>
      <c r="I118" s="1034">
        <f>ROUND(0.5667-0.0136*B113,4)</f>
        <v>0.52829999999999999</v>
      </c>
      <c r="J118" s="1034">
        <f t="shared" si="33"/>
        <v>0.52829999999999999</v>
      </c>
      <c r="K118" s="1034">
        <f t="shared" si="33"/>
        <v>0.52829999999999999</v>
      </c>
      <c r="L118" s="1034">
        <f t="shared" si="33"/>
        <v>0.52829999999999999</v>
      </c>
      <c r="M118" s="1035">
        <f t="shared" si="33"/>
        <v>0.52829999999999999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431" t="s">
        <v>1004</v>
      </c>
      <c r="B18" s="1154" t="s">
        <v>1443</v>
      </c>
      <c r="C18" s="1131" t="s">
        <v>1444</v>
      </c>
      <c r="D18" s="1132"/>
      <c r="E18" s="1154">
        <v>1</v>
      </c>
      <c r="F18" s="1133" t="s">
        <v>1445</v>
      </c>
      <c r="G18" s="1134"/>
      <c r="H18" s="1105"/>
      <c r="I18" s="1105"/>
    </row>
    <row r="19" spans="1:9" s="1599" customFormat="1" ht="19.5" customHeight="1">
      <c r="A19" s="3431"/>
      <c r="B19" s="3431" t="s">
        <v>1446</v>
      </c>
      <c r="C19" s="1131" t="s">
        <v>1447</v>
      </c>
      <c r="D19" s="1132"/>
      <c r="E19" s="1154">
        <v>0.9</v>
      </c>
      <c r="F19" s="1133" t="s">
        <v>1448</v>
      </c>
      <c r="G19" s="1134"/>
      <c r="H19" s="1105"/>
      <c r="I19" s="1105"/>
    </row>
    <row r="20" spans="1:9" s="1599" customFormat="1" ht="19.5" customHeight="1">
      <c r="A20" s="3431"/>
      <c r="B20" s="3431"/>
      <c r="C20" s="1131" t="s">
        <v>1449</v>
      </c>
      <c r="D20" s="1132"/>
      <c r="E20" s="1154">
        <v>1.1000000000000001</v>
      </c>
      <c r="F20" s="1133" t="s">
        <v>1450</v>
      </c>
      <c r="G20" s="1134"/>
      <c r="H20" s="1105"/>
      <c r="I20" s="1105"/>
    </row>
    <row r="21" spans="1:9" s="1599" customFormat="1" ht="19.5" customHeight="1">
      <c r="A21" s="3431"/>
      <c r="B21" s="3431"/>
      <c r="C21" s="1131" t="s">
        <v>1451</v>
      </c>
      <c r="D21" s="1132"/>
      <c r="E21" s="1154">
        <v>0.8</v>
      </c>
      <c r="F21" s="1133" t="s">
        <v>1452</v>
      </c>
      <c r="G21" s="1134"/>
      <c r="H21" s="1105"/>
      <c r="I21" s="1105"/>
    </row>
    <row r="22" spans="1:9" s="1599" customFormat="1" ht="19.5" customHeight="1">
      <c r="A22" s="3431"/>
      <c r="B22" s="3431"/>
      <c r="C22" s="1131" t="s">
        <v>1453</v>
      </c>
      <c r="D22" s="1132"/>
      <c r="E22" s="1154">
        <v>0.5</v>
      </c>
      <c r="F22" s="1133"/>
      <c r="G22" s="1134"/>
      <c r="H22" s="1105"/>
      <c r="I22" s="1105"/>
    </row>
    <row r="23" spans="1:9" s="1599" customFormat="1" ht="19.5" customHeight="1">
      <c r="A23" s="3431" t="s">
        <v>1026</v>
      </c>
      <c r="B23" s="1154" t="s">
        <v>1443</v>
      </c>
      <c r="C23" s="1131" t="s">
        <v>1454</v>
      </c>
      <c r="D23" s="1132"/>
      <c r="E23" s="1154">
        <v>1</v>
      </c>
      <c r="F23" s="1133" t="s">
        <v>1455</v>
      </c>
      <c r="G23" s="1134"/>
      <c r="H23" s="1105"/>
      <c r="I23" s="1105"/>
    </row>
    <row r="24" spans="1:9" s="1599" customFormat="1" ht="19.5" customHeight="1">
      <c r="A24" s="3431"/>
      <c r="B24" s="3431" t="s">
        <v>1446</v>
      </c>
      <c r="C24" s="1131" t="s">
        <v>1456</v>
      </c>
      <c r="D24" s="1132"/>
      <c r="E24" s="1154">
        <v>0.5</v>
      </c>
      <c r="F24" s="1133"/>
      <c r="G24" s="1134"/>
      <c r="H24" s="1105"/>
      <c r="I24" s="1105"/>
    </row>
    <row r="25" spans="1:9" s="1599" customFormat="1" ht="19.5" customHeight="1">
      <c r="A25" s="3431"/>
      <c r="B25" s="3431"/>
      <c r="C25" s="1131" t="s">
        <v>1457</v>
      </c>
      <c r="D25" s="1132"/>
      <c r="E25" s="1154">
        <v>1.1000000000000001</v>
      </c>
      <c r="F25" s="1133"/>
      <c r="G25" s="1134"/>
      <c r="H25" s="1105"/>
      <c r="I25" s="1105"/>
    </row>
    <row r="26" spans="1:9" s="1599" customFormat="1" ht="19.5" customHeight="1">
      <c r="A26" s="3431"/>
      <c r="B26" s="3431"/>
      <c r="C26" s="1131" t="s">
        <v>1458</v>
      </c>
      <c r="D26" s="1132"/>
      <c r="E26" s="1154">
        <v>1.1000000000000001</v>
      </c>
      <c r="F26" s="1133"/>
      <c r="G26" s="1134"/>
      <c r="H26" s="1105"/>
      <c r="I26" s="1105"/>
    </row>
    <row r="27" spans="1:9" s="1599" customFormat="1" ht="19.5" customHeight="1">
      <c r="A27" s="3431"/>
      <c r="B27" s="3431"/>
      <c r="C27" s="1131" t="s">
        <v>1459</v>
      </c>
      <c r="D27" s="1132"/>
      <c r="E27" s="1154">
        <v>0.9</v>
      </c>
      <c r="F27" s="1133" t="s">
        <v>1460</v>
      </c>
      <c r="G27" s="1134"/>
      <c r="H27" s="1105"/>
      <c r="I27" s="1105"/>
    </row>
    <row r="28" spans="1:9" s="1599" customFormat="1" ht="19.5" customHeight="1">
      <c r="A28" s="3431"/>
      <c r="B28" s="3431"/>
      <c r="C28" s="1131" t="s">
        <v>1461</v>
      </c>
      <c r="D28" s="1132"/>
      <c r="E28" s="1154">
        <v>0.9</v>
      </c>
      <c r="F28" s="1133" t="s">
        <v>1462</v>
      </c>
      <c r="G28" s="1134"/>
      <c r="H28" s="1105"/>
      <c r="I28" s="1105"/>
    </row>
    <row r="29" spans="1:9" s="1599" customFormat="1" ht="19.5" customHeight="1">
      <c r="A29" s="3431"/>
      <c r="B29" s="3431"/>
      <c r="C29" s="1131" t="s">
        <v>1463</v>
      </c>
      <c r="D29" s="1132"/>
      <c r="E29" s="1154">
        <v>0.9</v>
      </c>
      <c r="F29" s="1133" t="s">
        <v>1464</v>
      </c>
      <c r="G29" s="1134"/>
      <c r="H29" s="1105"/>
      <c r="I29" s="1105"/>
    </row>
    <row r="30" spans="1:9" s="1599" customFormat="1" ht="19.5" customHeight="1">
      <c r="A30" s="3431"/>
      <c r="B30" s="3431"/>
      <c r="C30" s="1131" t="s">
        <v>1465</v>
      </c>
      <c r="D30" s="1132"/>
      <c r="E30" s="1154">
        <v>0.9</v>
      </c>
      <c r="F30" s="1133" t="s">
        <v>1466</v>
      </c>
      <c r="G30" s="1134"/>
      <c r="H30" s="1105"/>
      <c r="I30" s="1105"/>
    </row>
    <row r="31" spans="1:9" s="1599" customFormat="1" ht="19.5" customHeight="1">
      <c r="A31" s="3431"/>
      <c r="B31" s="3431"/>
      <c r="C31" s="1131" t="s">
        <v>1467</v>
      </c>
      <c r="D31" s="1132"/>
      <c r="E31" s="1154">
        <v>0.8</v>
      </c>
      <c r="F31" s="1133" t="s">
        <v>1468</v>
      </c>
      <c r="G31" s="1134"/>
      <c r="H31" s="1105"/>
      <c r="I31" s="1105"/>
    </row>
    <row r="32" spans="1:9" s="1599" customFormat="1" ht="19.5" customHeight="1">
      <c r="A32" s="3431"/>
      <c r="B32" s="3431"/>
      <c r="C32" s="1131" t="s">
        <v>1469</v>
      </c>
      <c r="D32" s="1132"/>
      <c r="E32" s="1154">
        <v>0.8</v>
      </c>
      <c r="F32" s="1133" t="s">
        <v>1470</v>
      </c>
      <c r="G32" s="1134"/>
      <c r="H32" s="1105"/>
      <c r="I32" s="1105"/>
    </row>
    <row r="33" spans="1:9" s="1599" customFormat="1" ht="19.5" customHeight="1">
      <c r="A33" s="3431" t="s">
        <v>1471</v>
      </c>
      <c r="B33" s="1154" t="s">
        <v>1443</v>
      </c>
      <c r="C33" s="1131" t="s">
        <v>1472</v>
      </c>
      <c r="D33" s="1132"/>
      <c r="E33" s="1154">
        <v>1</v>
      </c>
      <c r="F33" s="1133" t="s">
        <v>1473</v>
      </c>
      <c r="G33" s="1134"/>
      <c r="H33" s="1105"/>
      <c r="I33" s="1105"/>
    </row>
    <row r="34" spans="1:9" s="1599" customFormat="1" ht="19.5" customHeight="1">
      <c r="A34" s="3431"/>
      <c r="B34" s="1154" t="s">
        <v>1446</v>
      </c>
      <c r="C34" s="1131" t="s">
        <v>1474</v>
      </c>
      <c r="D34" s="1132"/>
      <c r="E34" s="1154">
        <v>1.5</v>
      </c>
      <c r="F34" s="1133" t="s">
        <v>1475</v>
      </c>
      <c r="G34" s="1134"/>
      <c r="H34" s="1105"/>
      <c r="I34" s="1105"/>
    </row>
    <row r="35" spans="1:9" s="1599" customFormat="1" ht="19.5" customHeight="1">
      <c r="A35" s="3431" t="s">
        <v>1429</v>
      </c>
      <c r="B35" s="1154" t="s">
        <v>1443</v>
      </c>
      <c r="C35" s="1131" t="s">
        <v>1476</v>
      </c>
      <c r="D35" s="1132"/>
      <c r="E35" s="1154">
        <v>1</v>
      </c>
      <c r="F35" s="1133" t="s">
        <v>1477</v>
      </c>
      <c r="G35" s="1134"/>
      <c r="H35" s="1105"/>
      <c r="I35" s="1105"/>
    </row>
    <row r="36" spans="1:9" s="1599" customFormat="1" ht="19.5" customHeight="1">
      <c r="A36" s="3431"/>
      <c r="B36" s="3431" t="s">
        <v>1446</v>
      </c>
      <c r="C36" s="1131" t="s">
        <v>1478</v>
      </c>
      <c r="D36" s="1132"/>
      <c r="E36" s="1154">
        <v>1</v>
      </c>
      <c r="F36" s="1133" t="s">
        <v>1479</v>
      </c>
      <c r="G36" s="1134"/>
      <c r="H36" s="1105"/>
      <c r="I36" s="1105"/>
    </row>
    <row r="37" spans="1:9" s="1599" customFormat="1" ht="19.5" customHeight="1">
      <c r="A37" s="3431"/>
      <c r="B37" s="3431"/>
      <c r="C37" s="1131" t="s">
        <v>1480</v>
      </c>
      <c r="D37" s="1132"/>
      <c r="E37" s="1154">
        <v>1.5</v>
      </c>
      <c r="F37" s="1133" t="s">
        <v>1481</v>
      </c>
      <c r="G37" s="1134"/>
      <c r="H37" s="1105"/>
      <c r="I37" s="1105"/>
    </row>
    <row r="38" spans="1:9" s="1599" customFormat="1" ht="19.5" customHeight="1">
      <c r="A38" s="3431"/>
      <c r="B38" s="3431"/>
      <c r="C38" s="1131" t="s">
        <v>1482</v>
      </c>
      <c r="D38" s="1132"/>
      <c r="E38" s="1154">
        <v>1</v>
      </c>
      <c r="F38" s="1133" t="s">
        <v>1483</v>
      </c>
      <c r="G38" s="1134"/>
      <c r="H38" s="1105"/>
      <c r="I38" s="1105"/>
    </row>
    <row r="39" spans="1:9" s="1599" customFormat="1" ht="19.5" customHeight="1">
      <c r="A39" s="3431"/>
      <c r="B39" s="3431"/>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431" t="s">
        <v>1498</v>
      </c>
      <c r="C61" s="1068" t="s">
        <v>1499</v>
      </c>
      <c r="D61" s="1068" t="s">
        <v>1500</v>
      </c>
      <c r="E61" s="1139">
        <v>0.5</v>
      </c>
      <c r="F61" s="1154">
        <v>80</v>
      </c>
      <c r="H61" s="1105">
        <f>SUMIF(C59:C119,基准地价!C8,E59:E119)</f>
        <v>0</v>
      </c>
    </row>
    <row r="62" spans="1:8" s="1105" customFormat="1" ht="24">
      <c r="A62" s="1154">
        <v>2</v>
      </c>
      <c r="B62" s="3431"/>
      <c r="C62" s="1068" t="s">
        <v>1501</v>
      </c>
      <c r="D62" s="1068" t="s">
        <v>1502</v>
      </c>
      <c r="E62" s="1139">
        <v>0.5</v>
      </c>
      <c r="F62" s="1154">
        <v>80</v>
      </c>
    </row>
    <row r="63" spans="1:8" s="1105" customFormat="1" ht="36">
      <c r="A63" s="1154">
        <v>3</v>
      </c>
      <c r="B63" s="3431"/>
      <c r="C63" s="1068" t="s">
        <v>1503</v>
      </c>
      <c r="D63" s="1068" t="s">
        <v>1504</v>
      </c>
      <c r="E63" s="1139">
        <v>0.5</v>
      </c>
      <c r="F63" s="1154">
        <v>80</v>
      </c>
    </row>
    <row r="64" spans="1:8" s="1105" customFormat="1" ht="36">
      <c r="A64" s="1154">
        <v>4</v>
      </c>
      <c r="B64" s="3431"/>
      <c r="C64" s="1068" t="s">
        <v>1505</v>
      </c>
      <c r="D64" s="1068" t="s">
        <v>1506</v>
      </c>
      <c r="E64" s="1139">
        <v>0.4</v>
      </c>
      <c r="F64" s="1154">
        <v>60</v>
      </c>
    </row>
    <row r="65" spans="1:6" s="1105" customFormat="1" ht="36">
      <c r="A65" s="1154">
        <v>5</v>
      </c>
      <c r="B65" s="3431"/>
      <c r="C65" s="1068" t="s">
        <v>1507</v>
      </c>
      <c r="D65" s="1068" t="s">
        <v>1508</v>
      </c>
      <c r="E65" s="1139">
        <v>0.2</v>
      </c>
      <c r="F65" s="1154">
        <v>30</v>
      </c>
    </row>
    <row r="66" spans="1:6" s="1105" customFormat="1" ht="36">
      <c r="A66" s="1154">
        <v>6</v>
      </c>
      <c r="B66" s="3431"/>
      <c r="C66" s="1068" t="s">
        <v>1509</v>
      </c>
      <c r="D66" s="1068" t="s">
        <v>1510</v>
      </c>
      <c r="E66" s="1139">
        <v>0.3</v>
      </c>
      <c r="F66" s="1154">
        <v>50</v>
      </c>
    </row>
    <row r="67" spans="1:6" s="1105" customFormat="1" ht="36">
      <c r="A67" s="1154">
        <v>7</v>
      </c>
      <c r="B67" s="3431"/>
      <c r="C67" s="1068" t="s">
        <v>1511</v>
      </c>
      <c r="D67" s="1068" t="s">
        <v>1512</v>
      </c>
      <c r="E67" s="1139">
        <v>0.2</v>
      </c>
      <c r="F67" s="1154">
        <v>30</v>
      </c>
    </row>
    <row r="68" spans="1:6" s="1105" customFormat="1" ht="36">
      <c r="A68" s="1154">
        <v>8</v>
      </c>
      <c r="B68" s="3431"/>
      <c r="C68" s="1068" t="s">
        <v>1513</v>
      </c>
      <c r="D68" s="1068" t="s">
        <v>1514</v>
      </c>
      <c r="E68" s="1139">
        <v>0.2</v>
      </c>
      <c r="F68" s="1154">
        <v>30</v>
      </c>
    </row>
    <row r="69" spans="1:6" s="1105" customFormat="1" ht="36">
      <c r="A69" s="1154">
        <v>9</v>
      </c>
      <c r="B69" s="3431"/>
      <c r="C69" s="1068" t="s">
        <v>1515</v>
      </c>
      <c r="D69" s="1068" t="s">
        <v>1516</v>
      </c>
      <c r="E69" s="1139">
        <v>0.2</v>
      </c>
      <c r="F69" s="1154">
        <v>30</v>
      </c>
    </row>
    <row r="70" spans="1:6" s="1105" customFormat="1" ht="48">
      <c r="A70" s="1154">
        <v>10</v>
      </c>
      <c r="B70" s="3431"/>
      <c r="C70" s="1068" t="s">
        <v>1517</v>
      </c>
      <c r="D70" s="1068" t="s">
        <v>1518</v>
      </c>
      <c r="E70" s="1139">
        <v>0.2</v>
      </c>
      <c r="F70" s="1154">
        <v>30</v>
      </c>
    </row>
    <row r="71" spans="1:6" s="1105" customFormat="1" ht="48">
      <c r="A71" s="1154">
        <v>11</v>
      </c>
      <c r="B71" s="3431"/>
      <c r="C71" s="1068" t="s">
        <v>1519</v>
      </c>
      <c r="D71" s="1068" t="s">
        <v>1520</v>
      </c>
      <c r="E71" s="1139">
        <v>0.2</v>
      </c>
      <c r="F71" s="1154">
        <v>30</v>
      </c>
    </row>
    <row r="72" spans="1:6" s="1105" customFormat="1" ht="36">
      <c r="A72" s="1154">
        <v>12</v>
      </c>
      <c r="B72" s="3431"/>
      <c r="C72" s="1068" t="s">
        <v>1521</v>
      </c>
      <c r="D72" s="1068" t="s">
        <v>1522</v>
      </c>
      <c r="E72" s="1139">
        <v>0.5</v>
      </c>
      <c r="F72" s="1154">
        <v>80</v>
      </c>
    </row>
    <row r="73" spans="1:6" s="1105" customFormat="1" ht="24">
      <c r="A73" s="1154">
        <v>13</v>
      </c>
      <c r="B73" s="3431"/>
      <c r="C73" s="1068" t="s">
        <v>1523</v>
      </c>
      <c r="D73" s="1068" t="s">
        <v>1524</v>
      </c>
      <c r="E73" s="1139">
        <v>0.4</v>
      </c>
      <c r="F73" s="1154">
        <v>60</v>
      </c>
    </row>
    <row r="74" spans="1:6" s="1105" customFormat="1" ht="24">
      <c r="A74" s="1154">
        <v>14</v>
      </c>
      <c r="B74" s="3431"/>
      <c r="C74" s="1068" t="s">
        <v>1525</v>
      </c>
      <c r="D74" s="1068" t="s">
        <v>1526</v>
      </c>
      <c r="E74" s="1139">
        <v>0.2</v>
      </c>
      <c r="F74" s="1154">
        <v>30</v>
      </c>
    </row>
    <row r="75" spans="1:6" s="1105" customFormat="1" ht="24">
      <c r="A75" s="1154">
        <v>15</v>
      </c>
      <c r="B75" s="3431"/>
      <c r="C75" s="1068" t="s">
        <v>1527</v>
      </c>
      <c r="D75" s="1068" t="s">
        <v>1528</v>
      </c>
      <c r="E75" s="1139">
        <v>0.2</v>
      </c>
      <c r="F75" s="1154">
        <v>30</v>
      </c>
    </row>
    <row r="76" spans="1:6" s="1105" customFormat="1" ht="24">
      <c r="A76" s="1154">
        <v>16</v>
      </c>
      <c r="B76" s="3431" t="s">
        <v>1529</v>
      </c>
      <c r="C76" s="1068" t="s">
        <v>1530</v>
      </c>
      <c r="D76" s="1068" t="s">
        <v>1531</v>
      </c>
      <c r="E76" s="1139">
        <v>0.5</v>
      </c>
      <c r="F76" s="1154">
        <v>80</v>
      </c>
    </row>
    <row r="77" spans="1:6" s="1105" customFormat="1" ht="24">
      <c r="A77" s="1154">
        <v>17</v>
      </c>
      <c r="B77" s="3431"/>
      <c r="C77" s="1068" t="s">
        <v>1532</v>
      </c>
      <c r="D77" s="1068" t="s">
        <v>1533</v>
      </c>
      <c r="E77" s="1139">
        <v>0.5</v>
      </c>
      <c r="F77" s="1154">
        <v>80</v>
      </c>
    </row>
    <row r="78" spans="1:6" s="1105" customFormat="1" ht="24">
      <c r="A78" s="1154">
        <v>18</v>
      </c>
      <c r="B78" s="3431"/>
      <c r="C78" s="1068" t="s">
        <v>1534</v>
      </c>
      <c r="D78" s="1068" t="s">
        <v>1535</v>
      </c>
      <c r="E78" s="1139">
        <v>0.2</v>
      </c>
      <c r="F78" s="1154">
        <v>30</v>
      </c>
    </row>
    <row r="79" spans="1:6" s="1105" customFormat="1" ht="24">
      <c r="A79" s="1154">
        <v>19</v>
      </c>
      <c r="B79" s="3431"/>
      <c r="C79" s="1068" t="s">
        <v>1536</v>
      </c>
      <c r="D79" s="1068" t="s">
        <v>1537</v>
      </c>
      <c r="E79" s="1139">
        <v>0.5</v>
      </c>
      <c r="F79" s="1154">
        <v>80</v>
      </c>
    </row>
    <row r="80" spans="1:6" s="1105" customFormat="1" ht="36">
      <c r="A80" s="1154">
        <v>20</v>
      </c>
      <c r="B80" s="3431"/>
      <c r="C80" s="1068" t="s">
        <v>1538</v>
      </c>
      <c r="D80" s="1068" t="s">
        <v>1539</v>
      </c>
      <c r="E80" s="1139">
        <v>0.2</v>
      </c>
      <c r="F80" s="1154">
        <v>30</v>
      </c>
    </row>
    <row r="81" spans="1:6" s="1105" customFormat="1" ht="36">
      <c r="A81" s="1154">
        <v>21</v>
      </c>
      <c r="B81" s="3431"/>
      <c r="C81" s="1068" t="s">
        <v>1540</v>
      </c>
      <c r="D81" s="1068" t="s">
        <v>1541</v>
      </c>
      <c r="E81" s="1139">
        <v>0.2</v>
      </c>
      <c r="F81" s="1154">
        <v>30</v>
      </c>
    </row>
    <row r="82" spans="1:6" s="1105" customFormat="1" ht="48">
      <c r="A82" s="1154">
        <v>22</v>
      </c>
      <c r="B82" s="3431"/>
      <c r="C82" s="1068" t="s">
        <v>1542</v>
      </c>
      <c r="D82" s="1068" t="s">
        <v>1543</v>
      </c>
      <c r="E82" s="1139">
        <v>0.2</v>
      </c>
      <c r="F82" s="1154">
        <v>30</v>
      </c>
    </row>
    <row r="83" spans="1:6" s="1105" customFormat="1" ht="48">
      <c r="A83" s="1154">
        <v>23</v>
      </c>
      <c r="B83" s="3431"/>
      <c r="C83" s="1068" t="s">
        <v>1544</v>
      </c>
      <c r="D83" s="1068" t="s">
        <v>1545</v>
      </c>
      <c r="E83" s="1139">
        <v>0.2</v>
      </c>
      <c r="F83" s="1154">
        <v>30</v>
      </c>
    </row>
    <row r="84" spans="1:6" s="1105" customFormat="1" ht="36">
      <c r="A84" s="1154">
        <v>24</v>
      </c>
      <c r="B84" s="3431"/>
      <c r="C84" s="1068" t="s">
        <v>1546</v>
      </c>
      <c r="D84" s="1068" t="s">
        <v>1547</v>
      </c>
      <c r="E84" s="1139">
        <v>0.2</v>
      </c>
      <c r="F84" s="1154">
        <v>30</v>
      </c>
    </row>
    <row r="85" spans="1:6" s="1105" customFormat="1" ht="36">
      <c r="A85" s="1154">
        <v>25</v>
      </c>
      <c r="B85" s="3431"/>
      <c r="C85" s="1068" t="s">
        <v>1548</v>
      </c>
      <c r="D85" s="1068" t="s">
        <v>1549</v>
      </c>
      <c r="E85" s="1139">
        <v>0.5</v>
      </c>
      <c r="F85" s="1154">
        <v>80</v>
      </c>
    </row>
    <row r="86" spans="1:6" s="1105" customFormat="1" ht="36">
      <c r="A86" s="1154">
        <v>26</v>
      </c>
      <c r="B86" s="3431"/>
      <c r="C86" s="1068" t="s">
        <v>1550</v>
      </c>
      <c r="D86" s="1068" t="s">
        <v>1551</v>
      </c>
      <c r="E86" s="1139">
        <v>0.2</v>
      </c>
      <c r="F86" s="1154">
        <v>30</v>
      </c>
    </row>
    <row r="87" spans="1:6" s="1105" customFormat="1" ht="36">
      <c r="A87" s="1154">
        <v>27</v>
      </c>
      <c r="B87" s="3431"/>
      <c r="C87" s="1068" t="s">
        <v>1552</v>
      </c>
      <c r="D87" s="1068" t="s">
        <v>1553</v>
      </c>
      <c r="E87" s="1139">
        <v>0.2</v>
      </c>
      <c r="F87" s="1154">
        <v>30</v>
      </c>
    </row>
    <row r="88" spans="1:6" s="1105" customFormat="1" ht="36">
      <c r="A88" s="1154">
        <v>28</v>
      </c>
      <c r="B88" s="3431"/>
      <c r="C88" s="1068" t="s">
        <v>1554</v>
      </c>
      <c r="D88" s="1068" t="s">
        <v>1555</v>
      </c>
      <c r="E88" s="1139">
        <v>0.2</v>
      </c>
      <c r="F88" s="1154">
        <v>30</v>
      </c>
    </row>
    <row r="89" spans="1:6" s="1105" customFormat="1" ht="24">
      <c r="A89" s="1154">
        <v>29</v>
      </c>
      <c r="B89" s="3431"/>
      <c r="C89" s="1068" t="s">
        <v>1556</v>
      </c>
      <c r="D89" s="1068" t="s">
        <v>1557</v>
      </c>
      <c r="E89" s="1139">
        <v>0.2</v>
      </c>
      <c r="F89" s="1154">
        <v>30</v>
      </c>
    </row>
    <row r="90" spans="1:6" s="1105" customFormat="1" ht="24">
      <c r="A90" s="1154">
        <v>30</v>
      </c>
      <c r="B90" s="3431"/>
      <c r="C90" s="1068" t="s">
        <v>1558</v>
      </c>
      <c r="D90" s="1068" t="s">
        <v>1559</v>
      </c>
      <c r="E90" s="1139">
        <v>0.2</v>
      </c>
      <c r="F90" s="1154">
        <v>30</v>
      </c>
    </row>
    <row r="91" spans="1:6" s="1105" customFormat="1" ht="36">
      <c r="A91" s="1154">
        <v>31</v>
      </c>
      <c r="B91" s="3431"/>
      <c r="C91" s="1068" t="s">
        <v>1560</v>
      </c>
      <c r="D91" s="1068" t="s">
        <v>1561</v>
      </c>
      <c r="E91" s="1139">
        <v>0.2</v>
      </c>
      <c r="F91" s="1154">
        <v>30</v>
      </c>
    </row>
    <row r="92" spans="1:6" s="1105" customFormat="1" ht="24">
      <c r="A92" s="1154">
        <v>32</v>
      </c>
      <c r="B92" s="3431" t="s">
        <v>1562</v>
      </c>
      <c r="C92" s="1154" t="s">
        <v>1563</v>
      </c>
      <c r="D92" s="1068" t="s">
        <v>1564</v>
      </c>
      <c r="E92" s="1139">
        <v>0.2</v>
      </c>
      <c r="F92" s="1154">
        <v>30</v>
      </c>
    </row>
    <row r="93" spans="1:6" s="1105" customFormat="1" ht="36">
      <c r="A93" s="1154">
        <v>33</v>
      </c>
      <c r="B93" s="3431"/>
      <c r="C93" s="1154" t="s">
        <v>1565</v>
      </c>
      <c r="D93" s="1068" t="s">
        <v>1566</v>
      </c>
      <c r="E93" s="1139">
        <v>0.2</v>
      </c>
      <c r="F93" s="1154">
        <v>30</v>
      </c>
    </row>
    <row r="94" spans="1:6" s="1105" customFormat="1" ht="48">
      <c r="A94" s="1154">
        <v>34</v>
      </c>
      <c r="B94" s="3431"/>
      <c r="C94" s="1154" t="s">
        <v>1567</v>
      </c>
      <c r="D94" s="1068" t="s">
        <v>1568</v>
      </c>
      <c r="E94" s="1139">
        <v>0.2</v>
      </c>
      <c r="F94" s="1154">
        <v>30</v>
      </c>
    </row>
    <row r="95" spans="1:6" s="1105" customFormat="1" ht="36">
      <c r="A95" s="1154">
        <v>35</v>
      </c>
      <c r="B95" s="3431"/>
      <c r="C95" s="1154" t="s">
        <v>1569</v>
      </c>
      <c r="D95" s="1068" t="s">
        <v>1570</v>
      </c>
      <c r="E95" s="1139">
        <v>0.2</v>
      </c>
      <c r="F95" s="1154">
        <v>30</v>
      </c>
    </row>
    <row r="96" spans="1:6" s="1105" customFormat="1" ht="48">
      <c r="A96" s="1154">
        <v>36</v>
      </c>
      <c r="B96" s="3431"/>
      <c r="C96" s="1068" t="s">
        <v>1571</v>
      </c>
      <c r="D96" s="1068" t="s">
        <v>1572</v>
      </c>
      <c r="E96" s="1139">
        <v>0.2</v>
      </c>
      <c r="F96" s="1154">
        <v>30</v>
      </c>
    </row>
    <row r="97" spans="1:6" s="1105" customFormat="1" ht="36">
      <c r="A97" s="1154">
        <v>37</v>
      </c>
      <c r="B97" s="3431"/>
      <c r="C97" s="1154" t="s">
        <v>1573</v>
      </c>
      <c r="D97" s="1068" t="s">
        <v>1574</v>
      </c>
      <c r="E97" s="1139">
        <v>0.2</v>
      </c>
      <c r="F97" s="1154">
        <v>30</v>
      </c>
    </row>
    <row r="98" spans="1:6" s="1105" customFormat="1" ht="36">
      <c r="A98" s="1154">
        <v>38</v>
      </c>
      <c r="B98" s="3431"/>
      <c r="C98" s="1154" t="s">
        <v>1575</v>
      </c>
      <c r="D98" s="1068" t="s">
        <v>1576</v>
      </c>
      <c r="E98" s="1139">
        <v>0.2</v>
      </c>
      <c r="F98" s="1154">
        <v>30</v>
      </c>
    </row>
    <row r="99" spans="1:6" s="1105" customFormat="1" ht="36">
      <c r="A99" s="1154">
        <v>39</v>
      </c>
      <c r="B99" s="3431" t="s">
        <v>1577</v>
      </c>
      <c r="C99" s="1154" t="s">
        <v>1578</v>
      </c>
      <c r="D99" s="1068" t="s">
        <v>1579</v>
      </c>
      <c r="E99" s="1139">
        <v>0.3</v>
      </c>
      <c r="F99" s="1154">
        <v>50</v>
      </c>
    </row>
    <row r="100" spans="1:6" s="1105" customFormat="1" ht="24">
      <c r="A100" s="1154">
        <v>40</v>
      </c>
      <c r="B100" s="3431"/>
      <c r="C100" s="1154" t="s">
        <v>1580</v>
      </c>
      <c r="D100" s="1068" t="s">
        <v>1581</v>
      </c>
      <c r="E100" s="1139">
        <v>0.2</v>
      </c>
      <c r="F100" s="1154">
        <v>30</v>
      </c>
    </row>
    <row r="101" spans="1:6" s="1105" customFormat="1" ht="36">
      <c r="A101" s="1154">
        <v>41</v>
      </c>
      <c r="B101" s="3431"/>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431" t="s">
        <v>1592</v>
      </c>
      <c r="C105" s="1154" t="s">
        <v>1593</v>
      </c>
      <c r="D105" s="1068" t="s">
        <v>1594</v>
      </c>
      <c r="E105" s="1139">
        <v>0.2</v>
      </c>
      <c r="F105" s="1154">
        <v>30</v>
      </c>
    </row>
    <row r="106" spans="1:6" s="1105" customFormat="1" ht="36">
      <c r="A106" s="1154">
        <v>46</v>
      </c>
      <c r="B106" s="3431"/>
      <c r="C106" s="1154" t="s">
        <v>1595</v>
      </c>
      <c r="D106" s="1068" t="s">
        <v>1596</v>
      </c>
      <c r="E106" s="1139">
        <v>0.2</v>
      </c>
      <c r="F106" s="1154">
        <v>30</v>
      </c>
    </row>
    <row r="107" spans="1:6" s="1105" customFormat="1" ht="36">
      <c r="A107" s="1154">
        <v>47</v>
      </c>
      <c r="B107" s="3431" t="s">
        <v>1597</v>
      </c>
      <c r="C107" s="1154" t="s">
        <v>1598</v>
      </c>
      <c r="D107" s="1068" t="s">
        <v>1599</v>
      </c>
      <c r="E107" s="1139">
        <v>0.3</v>
      </c>
      <c r="F107" s="1154">
        <v>50</v>
      </c>
    </row>
    <row r="108" spans="1:6" s="1105" customFormat="1" ht="36">
      <c r="A108" s="1154">
        <v>48</v>
      </c>
      <c r="B108" s="3431"/>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431" t="s">
        <v>1608</v>
      </c>
      <c r="C111" s="1154" t="s">
        <v>1609</v>
      </c>
      <c r="D111" s="1068" t="s">
        <v>1610</v>
      </c>
      <c r="E111" s="1139">
        <v>0.2</v>
      </c>
      <c r="F111" s="1154">
        <v>30</v>
      </c>
    </row>
    <row r="112" spans="1:6" s="1105" customFormat="1" ht="24">
      <c r="A112" s="1154">
        <v>52</v>
      </c>
      <c r="B112" s="3431"/>
      <c r="C112" s="1154" t="s">
        <v>1611</v>
      </c>
      <c r="D112" s="1068" t="s">
        <v>1612</v>
      </c>
      <c r="E112" s="1139">
        <v>0.2</v>
      </c>
      <c r="F112" s="1154">
        <v>30</v>
      </c>
    </row>
    <row r="113" spans="1:14" s="1105" customFormat="1" ht="24">
      <c r="A113" s="1154">
        <v>53</v>
      </c>
      <c r="B113" s="3431"/>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431" t="s">
        <v>1621</v>
      </c>
      <c r="C116" s="1154" t="s">
        <v>1622</v>
      </c>
      <c r="D116" s="1068" t="s">
        <v>1623</v>
      </c>
      <c r="E116" s="1139">
        <v>0.2</v>
      </c>
      <c r="F116" s="1154">
        <v>30</v>
      </c>
    </row>
    <row r="117" spans="1:14" ht="36">
      <c r="A117" s="1154">
        <v>57</v>
      </c>
      <c r="B117" s="3431"/>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430" t="s">
        <v>1630</v>
      </c>
      <c r="B121" s="3430"/>
      <c r="C121" s="3430"/>
      <c r="D121" s="3430"/>
      <c r="E121" s="3430"/>
      <c r="F121" s="3430"/>
      <c r="G121" s="3430"/>
      <c r="H121" s="3430"/>
      <c r="I121" s="3430"/>
      <c r="J121" s="343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1036</v>
      </c>
      <c r="B1" s="3437"/>
      <c r="C1" s="3437"/>
      <c r="D1" s="3437"/>
      <c r="E1" s="3437"/>
      <c r="F1" s="3437"/>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438" t="s">
        <v>1049</v>
      </c>
      <c r="B2" s="3438"/>
      <c r="C2" s="3438"/>
      <c r="D2" s="3438"/>
      <c r="E2" s="3438"/>
      <c r="F2" s="3438"/>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439"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440"/>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5810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2420</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2421</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0.89119999999999999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1" t="s">
        <v>2077</v>
      </c>
      <c r="B1" s="3441"/>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1093</v>
      </c>
      <c r="B6" s="1859" t="s">
        <v>2086</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2087</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2088</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2089</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2090</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2091</v>
      </c>
      <c r="C72" s="1869"/>
      <c r="D72" s="1869"/>
      <c r="E72" s="1869"/>
      <c r="F72" s="1861">
        <v>0.05</v>
      </c>
    </row>
    <row r="73" spans="1:6" ht="14.25" thickBot="1">
      <c r="A73" s="1855" t="s">
        <v>921</v>
      </c>
      <c r="B73" s="1859" t="s">
        <v>2092</v>
      </c>
      <c r="C73" s="1869"/>
      <c r="D73" s="1869"/>
      <c r="E73" s="1869"/>
      <c r="F73" s="1861">
        <v>0.05</v>
      </c>
    </row>
    <row r="74" spans="1:6" ht="14.25" thickBot="1">
      <c r="A74" s="1855" t="s">
        <v>921</v>
      </c>
      <c r="B74" s="1859" t="s">
        <v>2093</v>
      </c>
      <c r="C74" s="1869"/>
      <c r="D74" s="1869"/>
      <c r="E74" s="1869"/>
      <c r="F74" s="1861">
        <v>0.05</v>
      </c>
    </row>
    <row r="75" spans="1:6" ht="14.25" thickBot="1">
      <c r="A75" s="1863" t="s">
        <v>921</v>
      </c>
      <c r="B75" s="1870" t="s">
        <v>2094</v>
      </c>
      <c r="C75" s="1866"/>
      <c r="D75" s="1866"/>
      <c r="E75" s="1866"/>
      <c r="F75" s="1871">
        <v>0.05</v>
      </c>
    </row>
    <row r="76" spans="1:6" ht="14.25" thickBot="1">
      <c r="A76" s="1855" t="s">
        <v>1404</v>
      </c>
      <c r="B76" s="1856" t="s">
        <v>2095</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2096</v>
      </c>
      <c r="C102" s="1869"/>
      <c r="D102" s="1869"/>
      <c r="E102" s="1869"/>
      <c r="F102" s="1861">
        <v>0.05</v>
      </c>
    </row>
    <row r="103" spans="1:6" ht="24.75" thickBot="1">
      <c r="A103" s="1855" t="s">
        <v>1404</v>
      </c>
      <c r="B103" s="1859" t="s">
        <v>2097</v>
      </c>
      <c r="C103" s="1869"/>
      <c r="D103" s="1869"/>
      <c r="E103" s="1869"/>
      <c r="F103" s="1861">
        <v>0.05</v>
      </c>
    </row>
    <row r="104" spans="1:6" ht="14.25" thickBot="1">
      <c r="A104" s="1855" t="s">
        <v>1404</v>
      </c>
      <c r="B104" s="1859" t="s">
        <v>2098</v>
      </c>
      <c r="C104" s="1869"/>
      <c r="D104" s="1869"/>
      <c r="E104" s="1869"/>
      <c r="F104" s="1861">
        <v>0.05</v>
      </c>
    </row>
    <row r="105" spans="1:6" ht="14.25" thickBot="1">
      <c r="A105" s="1855" t="s">
        <v>1404</v>
      </c>
      <c r="B105" s="1859" t="s">
        <v>2099</v>
      </c>
      <c r="C105" s="1869"/>
      <c r="D105" s="1869"/>
      <c r="E105" s="1869"/>
      <c r="F105" s="1861">
        <v>0.05</v>
      </c>
    </row>
    <row r="106" spans="1:6" ht="14.25" thickBot="1">
      <c r="A106" s="1855" t="s">
        <v>1404</v>
      </c>
      <c r="B106" s="1859" t="s">
        <v>2100</v>
      </c>
      <c r="C106" s="1869"/>
      <c r="D106" s="1869"/>
      <c r="E106" s="1869"/>
      <c r="F106" s="1861">
        <v>0.05</v>
      </c>
    </row>
    <row r="107" spans="1:6" ht="24.75" thickBot="1">
      <c r="A107" s="1855" t="s">
        <v>1404</v>
      </c>
      <c r="B107" s="1859" t="s">
        <v>2101</v>
      </c>
      <c r="C107" s="1869"/>
      <c r="D107" s="1869"/>
      <c r="E107" s="1869"/>
      <c r="F107" s="1861">
        <v>0.05</v>
      </c>
    </row>
    <row r="108" spans="1:6" ht="24.75" thickBot="1">
      <c r="A108" s="1855" t="s">
        <v>1404</v>
      </c>
      <c r="B108" s="1859" t="s">
        <v>2102</v>
      </c>
      <c r="C108" s="1869"/>
      <c r="D108" s="1869"/>
      <c r="E108" s="1869"/>
      <c r="F108" s="1861">
        <v>0.05</v>
      </c>
    </row>
    <row r="109" spans="1:6" ht="24.75" thickBot="1">
      <c r="A109" s="1863" t="s">
        <v>1404</v>
      </c>
      <c r="B109" s="1870" t="s">
        <v>2103</v>
      </c>
      <c r="C109" s="1866"/>
      <c r="D109" s="1866"/>
      <c r="E109" s="1866"/>
      <c r="F109" s="1871">
        <v>0.05</v>
      </c>
    </row>
    <row r="110" spans="1:6" ht="14.25" thickBot="1">
      <c r="A110" s="1855" t="s">
        <v>1406</v>
      </c>
      <c r="B110" s="1856" t="s">
        <v>2104</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2105</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2106</v>
      </c>
      <c r="C138" s="1860">
        <v>0.105</v>
      </c>
      <c r="D138" s="1860">
        <v>0.125</v>
      </c>
      <c r="E138" s="1860">
        <v>0.112</v>
      </c>
      <c r="F138" s="1868"/>
    </row>
    <row r="139" spans="1:6" ht="14.25" thickBot="1">
      <c r="A139" s="1855" t="s">
        <v>1406</v>
      </c>
      <c r="B139" s="1859" t="s">
        <v>2107</v>
      </c>
      <c r="C139" s="1860">
        <v>0.127</v>
      </c>
      <c r="D139" s="1860">
        <v>0.127</v>
      </c>
      <c r="E139" s="1860">
        <v>0.122</v>
      </c>
      <c r="F139" s="1861">
        <v>0.13</v>
      </c>
    </row>
    <row r="140" spans="1:6" ht="14.25" thickBot="1">
      <c r="A140" s="1855" t="s">
        <v>1406</v>
      </c>
      <c r="B140" s="1859" t="s">
        <v>2108</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2109</v>
      </c>
      <c r="C144" s="1873">
        <v>0.126</v>
      </c>
      <c r="D144" s="1873">
        <v>0.126</v>
      </c>
      <c r="E144" s="1873">
        <v>0.121</v>
      </c>
      <c r="F144" s="1868"/>
    </row>
    <row r="145" spans="1:6" ht="14.25" thickBot="1">
      <c r="A145" s="1863" t="s">
        <v>1406</v>
      </c>
      <c r="B145" s="1874" t="s">
        <v>2110</v>
      </c>
      <c r="C145" s="1875"/>
      <c r="D145" s="1875"/>
      <c r="E145" s="1875"/>
      <c r="F145" s="1876">
        <v>0.05</v>
      </c>
    </row>
    <row r="146" spans="1:6" ht="24.75" thickBot="1">
      <c r="A146" s="1877" t="s">
        <v>1406</v>
      </c>
      <c r="B146" s="1862" t="s">
        <v>2111</v>
      </c>
      <c r="C146" s="1869"/>
      <c r="D146" s="1869"/>
      <c r="E146" s="1869"/>
      <c r="F146" s="1878">
        <v>0.05</v>
      </c>
    </row>
    <row r="147" spans="1:6" ht="24.75" thickBot="1">
      <c r="A147" s="1855" t="s">
        <v>1406</v>
      </c>
      <c r="B147" s="1859" t="s">
        <v>2112</v>
      </c>
      <c r="C147" s="1869"/>
      <c r="D147" s="1869"/>
      <c r="E147" s="1869"/>
      <c r="F147" s="1861">
        <v>0.05</v>
      </c>
    </row>
    <row r="148" spans="1:6" ht="24.75" thickBot="1">
      <c r="A148" s="1855" t="s">
        <v>1406</v>
      </c>
      <c r="B148" s="1859" t="s">
        <v>2113</v>
      </c>
      <c r="C148" s="1869"/>
      <c r="D148" s="1869"/>
      <c r="E148" s="1869"/>
      <c r="F148" s="1861">
        <v>0.05</v>
      </c>
    </row>
    <row r="149" spans="1:6" ht="24.75" thickBot="1">
      <c r="A149" s="1855" t="s">
        <v>1406</v>
      </c>
      <c r="B149" s="1859" t="s">
        <v>2114</v>
      </c>
      <c r="C149" s="1869"/>
      <c r="D149" s="1869"/>
      <c r="E149" s="1869"/>
      <c r="F149" s="1861">
        <v>0.05</v>
      </c>
    </row>
    <row r="150" spans="1:6" ht="24.75" thickBot="1">
      <c r="A150" s="1855" t="s">
        <v>1406</v>
      </c>
      <c r="B150" s="1859" t="s">
        <v>2115</v>
      </c>
      <c r="C150" s="1869"/>
      <c r="D150" s="1869"/>
      <c r="E150" s="1869"/>
      <c r="F150" s="1861">
        <v>0.05</v>
      </c>
    </row>
    <row r="151" spans="1:6" ht="24.75" thickBot="1">
      <c r="A151" s="1855" t="s">
        <v>1406</v>
      </c>
      <c r="B151" s="1859" t="s">
        <v>2116</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2117</v>
      </c>
      <c r="C153" s="1869"/>
      <c r="D153" s="1869"/>
      <c r="E153" s="1869"/>
      <c r="F153" s="1861">
        <v>0.05</v>
      </c>
    </row>
    <row r="154" spans="1:6" ht="14.25" thickBot="1">
      <c r="A154" s="1855" t="s">
        <v>1406</v>
      </c>
      <c r="B154" s="1859" t="s">
        <v>2118</v>
      </c>
      <c r="C154" s="1869"/>
      <c r="D154" s="1869"/>
      <c r="E154" s="1869"/>
      <c r="F154" s="1861">
        <v>0.05</v>
      </c>
    </row>
    <row r="155" spans="1:6" ht="24.75" thickBot="1">
      <c r="A155" s="1855" t="s">
        <v>1406</v>
      </c>
      <c r="B155" s="1859" t="s">
        <v>2119</v>
      </c>
      <c r="C155" s="1869"/>
      <c r="D155" s="1869"/>
      <c r="E155" s="1869"/>
      <c r="F155" s="1861">
        <v>0.05</v>
      </c>
    </row>
    <row r="156" spans="1:6" ht="24.75" thickBot="1">
      <c r="A156" s="1855" t="s">
        <v>1406</v>
      </c>
      <c r="B156" s="1859" t="s">
        <v>2120</v>
      </c>
      <c r="C156" s="1869"/>
      <c r="D156" s="1869"/>
      <c r="E156" s="1869"/>
      <c r="F156" s="1861">
        <v>0.05</v>
      </c>
    </row>
    <row r="157" spans="1:6" ht="14.25" thickBot="1">
      <c r="A157" s="1863" t="s">
        <v>1406</v>
      </c>
      <c r="B157" s="1870" t="s">
        <v>2121</v>
      </c>
      <c r="C157" s="1866"/>
      <c r="D157" s="1866"/>
      <c r="E157" s="1866"/>
      <c r="F157" s="1871">
        <v>0.05</v>
      </c>
    </row>
    <row r="158" spans="1:6" ht="14.25" thickBot="1">
      <c r="A158" s="1855" t="s">
        <v>1408</v>
      </c>
      <c r="B158" s="1856" t="s">
        <v>2122</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2123</v>
      </c>
      <c r="C171" s="1860">
        <v>0.127</v>
      </c>
      <c r="D171" s="1860">
        <v>0.126</v>
      </c>
      <c r="E171" s="1860">
        <v>0.126</v>
      </c>
      <c r="F171" s="1861">
        <v>0.11799999999999999</v>
      </c>
    </row>
    <row r="172" spans="1:6" ht="14.25" thickBot="1">
      <c r="A172" s="1855" t="s">
        <v>1408</v>
      </c>
      <c r="B172" s="1859" t="s">
        <v>2124</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2125</v>
      </c>
      <c r="C174" s="1860">
        <v>0.13</v>
      </c>
      <c r="D174" s="1860">
        <v>0.13</v>
      </c>
      <c r="E174" s="1860">
        <v>0.13</v>
      </c>
      <c r="F174" s="1861">
        <v>0.13</v>
      </c>
    </row>
    <row r="175" spans="1:6" ht="14.25" thickBot="1">
      <c r="A175" s="1855" t="s">
        <v>1408</v>
      </c>
      <c r="B175" s="1859" t="s">
        <v>2126</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2127</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2128</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2129</v>
      </c>
      <c r="C185" s="1860">
        <v>0.127</v>
      </c>
      <c r="D185" s="1860">
        <v>0.127</v>
      </c>
      <c r="E185" s="1860">
        <v>0.128</v>
      </c>
      <c r="F185" s="1861">
        <v>0.13</v>
      </c>
    </row>
    <row r="186" spans="1:6" ht="24.75" thickBot="1">
      <c r="A186" s="1855" t="s">
        <v>1408</v>
      </c>
      <c r="B186" s="1859" t="s">
        <v>2130</v>
      </c>
      <c r="C186" s="1869"/>
      <c r="D186" s="1869"/>
      <c r="E186" s="1869"/>
      <c r="F186" s="1861">
        <v>0.05</v>
      </c>
    </row>
    <row r="187" spans="1:6" ht="14.25" thickBot="1">
      <c r="A187" s="1855" t="s">
        <v>1408</v>
      </c>
      <c r="B187" s="1859" t="s">
        <v>2131</v>
      </c>
      <c r="C187" s="1869"/>
      <c r="D187" s="1869"/>
      <c r="E187" s="1869"/>
      <c r="F187" s="1861">
        <v>0.05</v>
      </c>
    </row>
    <row r="188" spans="1:6" ht="14.25" thickBot="1">
      <c r="A188" s="1855" t="s">
        <v>1408</v>
      </c>
      <c r="B188" s="1859" t="s">
        <v>2132</v>
      </c>
      <c r="C188" s="1869"/>
      <c r="D188" s="1869"/>
      <c r="E188" s="1869"/>
      <c r="F188" s="1861">
        <v>0.05</v>
      </c>
    </row>
    <row r="189" spans="1:6" ht="24.75" thickBot="1">
      <c r="A189" s="1855" t="s">
        <v>1408</v>
      </c>
      <c r="B189" s="1859" t="s">
        <v>2133</v>
      </c>
      <c r="C189" s="1869"/>
      <c r="D189" s="1869"/>
      <c r="E189" s="1869"/>
      <c r="F189" s="1861">
        <v>0.05</v>
      </c>
    </row>
    <row r="190" spans="1:6" ht="24.75" thickBot="1">
      <c r="A190" s="1855" t="s">
        <v>1408</v>
      </c>
      <c r="B190" s="1859" t="s">
        <v>2134</v>
      </c>
      <c r="C190" s="1869"/>
      <c r="D190" s="1869"/>
      <c r="E190" s="1869"/>
      <c r="F190" s="1861">
        <v>0.05</v>
      </c>
    </row>
    <row r="191" spans="1:6" ht="24.75" thickBot="1">
      <c r="A191" s="1855" t="s">
        <v>1408</v>
      </c>
      <c r="B191" s="1859" t="s">
        <v>2135</v>
      </c>
      <c r="C191" s="1869"/>
      <c r="D191" s="1869"/>
      <c r="E191" s="1869"/>
      <c r="F191" s="1861">
        <v>0.05</v>
      </c>
    </row>
    <row r="192" spans="1:6" ht="24.75" thickBot="1">
      <c r="A192" s="1855" t="s">
        <v>1408</v>
      </c>
      <c r="B192" s="1859" t="s">
        <v>2136</v>
      </c>
      <c r="C192" s="1869"/>
      <c r="D192" s="1869"/>
      <c r="E192" s="1869"/>
      <c r="F192" s="1861">
        <v>0.05</v>
      </c>
    </row>
    <row r="193" spans="1:6" ht="24.75" thickBot="1">
      <c r="A193" s="1855" t="s">
        <v>1408</v>
      </c>
      <c r="B193" s="1859" t="s">
        <v>2137</v>
      </c>
      <c r="C193" s="1869"/>
      <c r="D193" s="1869"/>
      <c r="E193" s="1869"/>
      <c r="F193" s="1861">
        <v>0.05</v>
      </c>
    </row>
    <row r="194" spans="1:6" ht="24.75" thickBot="1">
      <c r="A194" s="1855" t="s">
        <v>1408</v>
      </c>
      <c r="B194" s="1859" t="s">
        <v>2138</v>
      </c>
      <c r="C194" s="1869"/>
      <c r="D194" s="1869"/>
      <c r="E194" s="1869"/>
      <c r="F194" s="1861">
        <v>0.05</v>
      </c>
    </row>
    <row r="195" spans="1:6" ht="14.25" thickBot="1">
      <c r="A195" s="1855" t="s">
        <v>1408</v>
      </c>
      <c r="B195" s="1859" t="s">
        <v>2139</v>
      </c>
      <c r="C195" s="1869"/>
      <c r="D195" s="1869"/>
      <c r="E195" s="1869"/>
      <c r="F195" s="1861">
        <v>0.05</v>
      </c>
    </row>
    <row r="196" spans="1:6" ht="24.75" thickBot="1">
      <c r="A196" s="1855" t="s">
        <v>1408</v>
      </c>
      <c r="B196" s="1859" t="s">
        <v>2140</v>
      </c>
      <c r="C196" s="1869"/>
      <c r="D196" s="1869"/>
      <c r="E196" s="1869"/>
      <c r="F196" s="1861">
        <v>0.05</v>
      </c>
    </row>
    <row r="197" spans="1:6" ht="24.75" thickBot="1">
      <c r="A197" s="1855" t="s">
        <v>1408</v>
      </c>
      <c r="B197" s="1859" t="s">
        <v>2141</v>
      </c>
      <c r="C197" s="1869"/>
      <c r="D197" s="1869"/>
      <c r="E197" s="1869"/>
      <c r="F197" s="1861">
        <v>0.05</v>
      </c>
    </row>
    <row r="198" spans="1:6" ht="24.75" thickBot="1">
      <c r="A198" s="1855" t="s">
        <v>1408</v>
      </c>
      <c r="B198" s="1859" t="s">
        <v>2142</v>
      </c>
      <c r="C198" s="1869"/>
      <c r="D198" s="1869"/>
      <c r="E198" s="1869"/>
      <c r="F198" s="1861">
        <v>0.05</v>
      </c>
    </row>
    <row r="199" spans="1:6" ht="24.75" thickBot="1">
      <c r="A199" s="1855" t="s">
        <v>1408</v>
      </c>
      <c r="B199" s="1859" t="s">
        <v>2143</v>
      </c>
      <c r="C199" s="1869"/>
      <c r="D199" s="1869"/>
      <c r="E199" s="1869"/>
      <c r="F199" s="1861">
        <v>0.05</v>
      </c>
    </row>
    <row r="200" spans="1:6" ht="24.75" thickBot="1">
      <c r="A200" s="1855" t="s">
        <v>1408</v>
      </c>
      <c r="B200" s="1859" t="s">
        <v>2144</v>
      </c>
      <c r="C200" s="1869"/>
      <c r="D200" s="1869"/>
      <c r="E200" s="1869"/>
      <c r="F200" s="1861">
        <v>0.05</v>
      </c>
    </row>
    <row r="201" spans="1:6" ht="24.75" thickBot="1">
      <c r="A201" s="1855" t="s">
        <v>1408</v>
      </c>
      <c r="B201" s="1859" t="s">
        <v>2145</v>
      </c>
      <c r="C201" s="1869"/>
      <c r="D201" s="1869"/>
      <c r="E201" s="1869"/>
      <c r="F201" s="1861">
        <v>0.05</v>
      </c>
    </row>
    <row r="202" spans="1:6" ht="24.75" thickBot="1">
      <c r="A202" s="1855" t="s">
        <v>1408</v>
      </c>
      <c r="B202" s="1859" t="s">
        <v>2146</v>
      </c>
      <c r="C202" s="1869"/>
      <c r="D202" s="1869"/>
      <c r="E202" s="1869"/>
      <c r="F202" s="1861">
        <v>0.05</v>
      </c>
    </row>
    <row r="203" spans="1:6" ht="24.75" thickBot="1">
      <c r="A203" s="1855" t="s">
        <v>1408</v>
      </c>
      <c r="B203" s="1859" t="s">
        <v>2147</v>
      </c>
      <c r="C203" s="1869"/>
      <c r="D203" s="1869"/>
      <c r="E203" s="1869"/>
      <c r="F203" s="1861">
        <v>0.05</v>
      </c>
    </row>
    <row r="204" spans="1:6" ht="14.25" thickBot="1">
      <c r="A204" s="1855" t="s">
        <v>1408</v>
      </c>
      <c r="B204" s="1859" t="s">
        <v>2148</v>
      </c>
      <c r="C204" s="1869"/>
      <c r="D204" s="1869"/>
      <c r="E204" s="1869"/>
      <c r="F204" s="1861">
        <v>0.05</v>
      </c>
    </row>
    <row r="205" spans="1:6" ht="14.25" thickBot="1">
      <c r="A205" s="1863" t="s">
        <v>1408</v>
      </c>
      <c r="B205" s="1870" t="s">
        <v>2149</v>
      </c>
      <c r="C205" s="1866"/>
      <c r="D205" s="1866"/>
      <c r="E205" s="1866"/>
      <c r="F205" s="1871">
        <v>0.05</v>
      </c>
    </row>
    <row r="206" spans="1:6" ht="14.25" thickBot="1">
      <c r="A206" s="1855" t="s">
        <v>1410</v>
      </c>
      <c r="B206" s="1856" t="s">
        <v>2150</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2151</v>
      </c>
      <c r="C210" s="1860">
        <v>0.15</v>
      </c>
      <c r="D210" s="1860">
        <v>0.15</v>
      </c>
      <c r="E210" s="1860">
        <v>0.15</v>
      </c>
      <c r="F210" s="1861">
        <v>0.13800000000000001</v>
      </c>
    </row>
    <row r="211" spans="1:6" ht="14.25" thickBot="1">
      <c r="A211" s="1855" t="s">
        <v>1410</v>
      </c>
      <c r="B211" s="1859" t="s">
        <v>2152</v>
      </c>
      <c r="C211" s="1860">
        <v>0.13700000000000001</v>
      </c>
      <c r="D211" s="1860">
        <v>0.13500000000000001</v>
      </c>
      <c r="E211" s="1860">
        <v>0.13600000000000001</v>
      </c>
      <c r="F211" s="1861">
        <v>0.1</v>
      </c>
    </row>
    <row r="212" spans="1:6" ht="14.25" thickBot="1">
      <c r="A212" s="1855" t="s">
        <v>1410</v>
      </c>
      <c r="B212" s="1859" t="s">
        <v>2153</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2154</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2155</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2156</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2157</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2158</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2159</v>
      </c>
      <c r="C231" s="1860">
        <v>0.128</v>
      </c>
      <c r="D231" s="1860">
        <v>0.125</v>
      </c>
      <c r="E231" s="1860">
        <v>0.13200000000000001</v>
      </c>
      <c r="F231" s="1868"/>
    </row>
    <row r="232" spans="1:6" ht="14.25" thickBot="1">
      <c r="A232" s="1855" t="s">
        <v>1410</v>
      </c>
      <c r="B232" s="1859" t="s">
        <v>2160</v>
      </c>
      <c r="C232" s="1860">
        <v>0.14499999999999999</v>
      </c>
      <c r="D232" s="1860">
        <v>0.14399999999999999</v>
      </c>
      <c r="E232" s="1860">
        <v>0.14599999999999999</v>
      </c>
      <c r="F232" s="1861">
        <v>0.13800000000000001</v>
      </c>
    </row>
    <row r="233" spans="1:6" ht="14.25" thickBot="1">
      <c r="A233" s="1855" t="s">
        <v>1410</v>
      </c>
      <c r="B233" s="1859" t="s">
        <v>2161</v>
      </c>
      <c r="C233" s="1860">
        <v>0.14499999999999999</v>
      </c>
      <c r="D233" s="1860">
        <v>0.14299999999999999</v>
      </c>
      <c r="E233" s="1860">
        <v>0.14199999999999999</v>
      </c>
      <c r="F233" s="1868"/>
    </row>
    <row r="234" spans="1:6" ht="14.25" thickBot="1">
      <c r="A234" s="1855" t="s">
        <v>1410</v>
      </c>
      <c r="B234" s="1859" t="s">
        <v>2162</v>
      </c>
      <c r="C234" s="1860">
        <v>0.14000000000000001</v>
      </c>
      <c r="D234" s="1860">
        <v>0.14000000000000001</v>
      </c>
      <c r="E234" s="1860">
        <v>0.14399999999999999</v>
      </c>
      <c r="F234" s="1868"/>
    </row>
    <row r="235" spans="1:6" ht="14.25" thickBot="1">
      <c r="A235" s="1855" t="s">
        <v>1410</v>
      </c>
      <c r="B235" s="1859" t="s">
        <v>2163</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2164</v>
      </c>
      <c r="C237" s="1869"/>
      <c r="D237" s="1869"/>
      <c r="E237" s="1869"/>
      <c r="F237" s="1861">
        <v>0.05</v>
      </c>
    </row>
    <row r="238" spans="1:6" ht="24.75" thickBot="1">
      <c r="A238" s="1855" t="s">
        <v>1410</v>
      </c>
      <c r="B238" s="1859" t="s">
        <v>2165</v>
      </c>
      <c r="C238" s="1869"/>
      <c r="D238" s="1869"/>
      <c r="E238" s="1869"/>
      <c r="F238" s="1861">
        <v>0.05</v>
      </c>
    </row>
    <row r="239" spans="1:6" ht="24.75" thickBot="1">
      <c r="A239" s="1855" t="s">
        <v>1410</v>
      </c>
      <c r="B239" s="1859" t="s">
        <v>2166</v>
      </c>
      <c r="C239" s="1869"/>
      <c r="D239" s="1869"/>
      <c r="E239" s="1869"/>
      <c r="F239" s="1861">
        <v>0.05</v>
      </c>
    </row>
    <row r="240" spans="1:6" ht="24.75" thickBot="1">
      <c r="A240" s="1855" t="s">
        <v>1410</v>
      </c>
      <c r="B240" s="1859" t="s">
        <v>2167</v>
      </c>
      <c r="C240" s="1869"/>
      <c r="D240" s="1869"/>
      <c r="E240" s="1869"/>
      <c r="F240" s="1861">
        <v>0.05</v>
      </c>
    </row>
    <row r="241" spans="1:6" ht="24.75" thickBot="1">
      <c r="A241" s="1855" t="s">
        <v>1410</v>
      </c>
      <c r="B241" s="1859" t="s">
        <v>2168</v>
      </c>
      <c r="C241" s="1869"/>
      <c r="D241" s="1869"/>
      <c r="E241" s="1869"/>
      <c r="F241" s="1861">
        <v>0.05</v>
      </c>
    </row>
    <row r="242" spans="1:6" ht="24.75" thickBot="1">
      <c r="A242" s="1855" t="s">
        <v>1410</v>
      </c>
      <c r="B242" s="1859" t="s">
        <v>2169</v>
      </c>
      <c r="C242" s="1869"/>
      <c r="D242" s="1869"/>
      <c r="E242" s="1869"/>
      <c r="F242" s="1861">
        <v>0.05</v>
      </c>
    </row>
    <row r="243" spans="1:6" ht="24.75" thickBot="1">
      <c r="A243" s="1855" t="s">
        <v>1410</v>
      </c>
      <c r="B243" s="1859" t="s">
        <v>2170</v>
      </c>
      <c r="C243" s="1869"/>
      <c r="D243" s="1869"/>
      <c r="E243" s="1869"/>
      <c r="F243" s="1861">
        <v>0.05</v>
      </c>
    </row>
    <row r="244" spans="1:6" ht="24.75" thickBot="1">
      <c r="A244" s="1863" t="s">
        <v>1410</v>
      </c>
      <c r="B244" s="1870" t="s">
        <v>2171</v>
      </c>
      <c r="C244" s="1866"/>
      <c r="D244" s="1866"/>
      <c r="E244" s="1866"/>
      <c r="F244" s="1871">
        <v>0.05</v>
      </c>
    </row>
    <row r="245" spans="1:6" ht="14.25" thickBot="1">
      <c r="A245" s="1855" t="s">
        <v>1412</v>
      </c>
      <c r="B245" s="1856" t="s">
        <v>2172</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2173</v>
      </c>
      <c r="C247" s="1860">
        <v>0.15</v>
      </c>
      <c r="D247" s="1860">
        <v>0.15</v>
      </c>
      <c r="E247" s="1860">
        <v>0.15</v>
      </c>
      <c r="F247" s="1861">
        <v>0.15</v>
      </c>
    </row>
    <row r="248" spans="1:6" ht="14.25" thickBot="1">
      <c r="A248" s="1855" t="s">
        <v>1412</v>
      </c>
      <c r="B248" s="1859" t="s">
        <v>2174</v>
      </c>
      <c r="C248" s="1860">
        <v>0.15</v>
      </c>
      <c r="D248" s="1860">
        <v>0.15</v>
      </c>
      <c r="E248" s="1860">
        <v>0.15</v>
      </c>
      <c r="F248" s="1861">
        <v>0.14000000000000001</v>
      </c>
    </row>
    <row r="249" spans="1:6" ht="14.25" thickBot="1">
      <c r="A249" s="1855" t="s">
        <v>1412</v>
      </c>
      <c r="B249" s="1859" t="s">
        <v>2175</v>
      </c>
      <c r="C249" s="1860">
        <v>0.15</v>
      </c>
      <c r="D249" s="1860">
        <v>0.14899999999999999</v>
      </c>
      <c r="E249" s="1860">
        <v>0.15</v>
      </c>
      <c r="F249" s="1861">
        <v>0.1</v>
      </c>
    </row>
    <row r="250" spans="1:6" ht="14.25" thickBot="1">
      <c r="A250" s="1855" t="s">
        <v>1412</v>
      </c>
      <c r="B250" s="1859" t="s">
        <v>2176</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2177</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2178</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2179</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2180</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2181</v>
      </c>
      <c r="C273" s="1860">
        <v>0.14199999999999999</v>
      </c>
      <c r="D273" s="1860">
        <v>0.14299999999999999</v>
      </c>
      <c r="E273" s="1860">
        <v>0.15</v>
      </c>
      <c r="F273" s="1861">
        <v>0.1</v>
      </c>
    </row>
    <row r="274" spans="1:6" ht="14.25" thickBot="1">
      <c r="A274" s="1855" t="s">
        <v>1412</v>
      </c>
      <c r="B274" s="1859" t="s">
        <v>2182</v>
      </c>
      <c r="C274" s="1860">
        <v>0.14799999999999999</v>
      </c>
      <c r="D274" s="1860">
        <v>0.14799999999999999</v>
      </c>
      <c r="E274" s="1860">
        <v>0.15</v>
      </c>
      <c r="F274" s="1861">
        <v>6.7000000000000004E-2</v>
      </c>
    </row>
    <row r="275" spans="1:6" ht="14.25" thickBot="1">
      <c r="A275" s="1855" t="s">
        <v>1412</v>
      </c>
      <c r="B275" s="1859" t="s">
        <v>2183</v>
      </c>
      <c r="C275" s="1860">
        <v>0.15</v>
      </c>
      <c r="D275" s="1860">
        <v>0.15</v>
      </c>
      <c r="E275" s="1860">
        <v>0.15</v>
      </c>
      <c r="F275" s="1861">
        <v>0.15</v>
      </c>
    </row>
    <row r="276" spans="1:6" ht="14.25" thickBot="1">
      <c r="A276" s="1855" t="s">
        <v>1412</v>
      </c>
      <c r="B276" s="1859" t="s">
        <v>2184</v>
      </c>
      <c r="C276" s="1860">
        <v>0.14499999999999999</v>
      </c>
      <c r="D276" s="1860">
        <v>0.14299999999999999</v>
      </c>
      <c r="E276" s="1860">
        <v>0.15</v>
      </c>
      <c r="F276" s="1861">
        <v>5.8999999999999997E-2</v>
      </c>
    </row>
    <row r="277" spans="1:6" ht="14.25" thickBot="1">
      <c r="A277" s="1855" t="s">
        <v>1412</v>
      </c>
      <c r="B277" s="1859" t="s">
        <v>2185</v>
      </c>
      <c r="C277" s="1860">
        <v>0.15</v>
      </c>
      <c r="D277" s="1860">
        <v>0.15</v>
      </c>
      <c r="E277" s="1860">
        <v>0.15</v>
      </c>
      <c r="F277" s="1861">
        <v>0.121</v>
      </c>
    </row>
    <row r="278" spans="1:6" ht="14.25" thickBot="1">
      <c r="A278" s="1855" t="s">
        <v>1412</v>
      </c>
      <c r="B278" s="1859" t="s">
        <v>2186</v>
      </c>
      <c r="C278" s="1860">
        <v>0.15</v>
      </c>
      <c r="D278" s="1860">
        <v>0.15</v>
      </c>
      <c r="E278" s="1860">
        <v>0.15</v>
      </c>
      <c r="F278" s="1861">
        <v>0.13800000000000001</v>
      </c>
    </row>
    <row r="279" spans="1:6" ht="24.75" thickBot="1">
      <c r="A279" s="1855" t="s">
        <v>1412</v>
      </c>
      <c r="B279" s="1859" t="s">
        <v>2187</v>
      </c>
      <c r="C279" s="1869"/>
      <c r="D279" s="1869"/>
      <c r="E279" s="1869"/>
      <c r="F279" s="1861">
        <v>0.05</v>
      </c>
    </row>
    <row r="280" spans="1:6" ht="24.75" thickBot="1">
      <c r="A280" s="1855" t="s">
        <v>1412</v>
      </c>
      <c r="B280" s="1859" t="s">
        <v>2188</v>
      </c>
      <c r="C280" s="1869"/>
      <c r="D280" s="1869"/>
      <c r="E280" s="1869"/>
      <c r="F280" s="1861">
        <v>0.05</v>
      </c>
    </row>
    <row r="281" spans="1:6" ht="24.75" thickBot="1">
      <c r="A281" s="1855" t="s">
        <v>1412</v>
      </c>
      <c r="B281" s="1859" t="s">
        <v>2189</v>
      </c>
      <c r="C281" s="1869"/>
      <c r="D281" s="1869"/>
      <c r="E281" s="1869"/>
      <c r="F281" s="1861">
        <v>0.05</v>
      </c>
    </row>
    <row r="282" spans="1:6" ht="24.75" thickBot="1">
      <c r="A282" s="1855" t="s">
        <v>1412</v>
      </c>
      <c r="B282" s="1859" t="s">
        <v>2190</v>
      </c>
      <c r="C282" s="1869"/>
      <c r="D282" s="1869"/>
      <c r="E282" s="1869"/>
      <c r="F282" s="1861">
        <v>0.05</v>
      </c>
    </row>
    <row r="283" spans="1:6" ht="24.75" thickBot="1">
      <c r="A283" s="1855" t="s">
        <v>1412</v>
      </c>
      <c r="B283" s="1859" t="s">
        <v>2191</v>
      </c>
      <c r="C283" s="1869"/>
      <c r="D283" s="1869"/>
      <c r="E283" s="1869"/>
      <c r="F283" s="1861">
        <v>0.05</v>
      </c>
    </row>
    <row r="284" spans="1:6" ht="24.75" thickBot="1">
      <c r="A284" s="1855" t="s">
        <v>1412</v>
      </c>
      <c r="B284" s="1859" t="s">
        <v>2192</v>
      </c>
      <c r="C284" s="1869"/>
      <c r="D284" s="1869"/>
      <c r="E284" s="1869"/>
      <c r="F284" s="1861">
        <v>0.05</v>
      </c>
    </row>
    <row r="285" spans="1:6" ht="24.75" thickBot="1">
      <c r="A285" s="1855" t="s">
        <v>1412</v>
      </c>
      <c r="B285" s="1859" t="s">
        <v>2193</v>
      </c>
      <c r="C285" s="1869"/>
      <c r="D285" s="1869"/>
      <c r="E285" s="1869"/>
      <c r="F285" s="1861">
        <v>0.05</v>
      </c>
    </row>
    <row r="286" spans="1:6" ht="24.75" thickBot="1">
      <c r="A286" s="1855" t="s">
        <v>1412</v>
      </c>
      <c r="B286" s="1859" t="s">
        <v>2194</v>
      </c>
      <c r="C286" s="1869"/>
      <c r="D286" s="1869"/>
      <c r="E286" s="1869"/>
      <c r="F286" s="1861">
        <v>0.05</v>
      </c>
    </row>
    <row r="287" spans="1:6" ht="24.75" thickBot="1">
      <c r="A287" s="1855" t="s">
        <v>1412</v>
      </c>
      <c r="B287" s="1859" t="s">
        <v>2195</v>
      </c>
      <c r="C287" s="1869"/>
      <c r="D287" s="1869"/>
      <c r="E287" s="1869"/>
      <c r="F287" s="1861">
        <v>0.05</v>
      </c>
    </row>
    <row r="288" spans="1:6" ht="24.75" thickBot="1">
      <c r="A288" s="1855" t="s">
        <v>1412</v>
      </c>
      <c r="B288" s="1859" t="s">
        <v>2196</v>
      </c>
      <c r="C288" s="1869"/>
      <c r="D288" s="1869"/>
      <c r="E288" s="1869"/>
      <c r="F288" s="1861">
        <v>0.05</v>
      </c>
    </row>
    <row r="289" spans="1:6" ht="24.75" thickBot="1">
      <c r="A289" s="1863" t="s">
        <v>1412</v>
      </c>
      <c r="B289" s="1870" t="s">
        <v>2197</v>
      </c>
      <c r="C289" s="1866"/>
      <c r="D289" s="1866"/>
      <c r="E289" s="1866"/>
      <c r="F289" s="1871">
        <v>0.05</v>
      </c>
    </row>
    <row r="290" spans="1:6" ht="14.25" thickBot="1">
      <c r="A290" s="1855" t="s">
        <v>1416</v>
      </c>
      <c r="B290" s="1856" t="s">
        <v>2198</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2199</v>
      </c>
      <c r="C292" s="1860">
        <v>0.15</v>
      </c>
      <c r="D292" s="1860">
        <v>0.15</v>
      </c>
      <c r="E292" s="1860">
        <v>0.15</v>
      </c>
      <c r="F292" s="1861">
        <v>0.14699999999999999</v>
      </c>
    </row>
    <row r="293" spans="1:6" ht="14.25" thickBot="1">
      <c r="A293" s="1855" t="s">
        <v>1416</v>
      </c>
      <c r="B293" s="1859" t="s">
        <v>2200</v>
      </c>
      <c r="C293" s="1869"/>
      <c r="D293" s="1869"/>
      <c r="E293" s="1869"/>
      <c r="F293" s="1861">
        <v>0.1</v>
      </c>
    </row>
    <row r="294" spans="1:6" ht="14.25" thickBot="1">
      <c r="A294" s="1855" t="s">
        <v>1416</v>
      </c>
      <c r="B294" s="1859" t="s">
        <v>2201</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2202</v>
      </c>
      <c r="C296" s="1860">
        <v>0.15</v>
      </c>
      <c r="D296" s="1860">
        <v>0.15</v>
      </c>
      <c r="E296" s="1860">
        <v>0.15</v>
      </c>
      <c r="F296" s="1861">
        <v>0.15</v>
      </c>
    </row>
    <row r="297" spans="1:6" ht="14.25" thickBot="1">
      <c r="A297" s="1855" t="s">
        <v>1416</v>
      </c>
      <c r="B297" s="1859" t="s">
        <v>2203</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2204</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2205</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2206</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2207</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2208</v>
      </c>
      <c r="C310" s="1860">
        <v>0.15</v>
      </c>
      <c r="D310" s="1860">
        <v>0.15</v>
      </c>
      <c r="E310" s="1860">
        <v>0.15</v>
      </c>
      <c r="F310" s="1861">
        <v>0.13700000000000001</v>
      </c>
    </row>
    <row r="311" spans="1:6" ht="14.25" thickBot="1">
      <c r="A311" s="1855" t="s">
        <v>1416</v>
      </c>
      <c r="B311" s="1859" t="s">
        <v>2209</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2210</v>
      </c>
      <c r="C313" s="1860">
        <v>0.15</v>
      </c>
      <c r="D313" s="1860">
        <v>0.15</v>
      </c>
      <c r="E313" s="1860">
        <v>0.15</v>
      </c>
      <c r="F313" s="1861">
        <v>0.15</v>
      </c>
    </row>
    <row r="314" spans="1:6" ht="24.75" thickBot="1">
      <c r="A314" s="1855" t="s">
        <v>1416</v>
      </c>
      <c r="B314" s="1859" t="s">
        <v>2211</v>
      </c>
      <c r="C314" s="1869"/>
      <c r="D314" s="1869"/>
      <c r="E314" s="1869"/>
      <c r="F314" s="1861">
        <v>0.05</v>
      </c>
    </row>
    <row r="315" spans="1:6" ht="24.75" thickBot="1">
      <c r="A315" s="1855" t="s">
        <v>1416</v>
      </c>
      <c r="B315" s="1859" t="s">
        <v>2212</v>
      </c>
      <c r="C315" s="1869"/>
      <c r="D315" s="1869"/>
      <c r="E315" s="1869"/>
      <c r="F315" s="1861">
        <v>0.05</v>
      </c>
    </row>
    <row r="316" spans="1:6" ht="24.75" thickBot="1">
      <c r="A316" s="1863" t="s">
        <v>1416</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1104</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1173</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1193</v>
      </c>
      <c r="C328" s="1860">
        <v>0.15</v>
      </c>
      <c r="D328" s="1860">
        <v>0.15</v>
      </c>
      <c r="E328" s="1860">
        <v>0.15</v>
      </c>
      <c r="F328" s="1861">
        <v>0.14099999999999999</v>
      </c>
    </row>
    <row r="329" spans="1:6" ht="14.25" thickBot="1">
      <c r="A329" s="1855" t="s">
        <v>2214</v>
      </c>
      <c r="B329" s="1859" t="s">
        <v>1203</v>
      </c>
      <c r="C329" s="1860">
        <v>0.15</v>
      </c>
      <c r="D329" s="1860">
        <v>0.15</v>
      </c>
      <c r="E329" s="1860">
        <v>0.15</v>
      </c>
      <c r="F329" s="1861">
        <v>0.15</v>
      </c>
    </row>
    <row r="330" spans="1:6" ht="14.25" thickBot="1">
      <c r="A330" s="1855" t="s">
        <v>2214</v>
      </c>
      <c r="B330" s="1859" t="s">
        <v>1213</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1233</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1253</v>
      </c>
      <c r="C334" s="1860">
        <v>0.15</v>
      </c>
      <c r="D334" s="1860">
        <v>0.15</v>
      </c>
      <c r="E334" s="1860">
        <v>0.15</v>
      </c>
      <c r="F334" s="1861">
        <v>0.15</v>
      </c>
    </row>
    <row r="335" spans="1:6" ht="14.25" thickBot="1">
      <c r="A335" s="1855" t="s">
        <v>2214</v>
      </c>
      <c r="B335" s="1859" t="s">
        <v>1263</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1281</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E20" sqref="E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2941</v>
      </c>
      <c r="B1" s="3102"/>
      <c r="C1" s="3102"/>
      <c r="D1" s="3102"/>
      <c r="E1" s="3102"/>
      <c r="F1" s="3102"/>
    </row>
    <row r="2" spans="1:6" ht="14.25">
      <c r="A2" s="3103" t="s">
        <v>2936</v>
      </c>
      <c r="B2" s="3104">
        <f ca="1">SUMIF(B7:B14,"&lt;&gt;#ref!",B7:B14)</f>
        <v>78987</v>
      </c>
      <c r="C2" s="3103" t="s">
        <v>2937</v>
      </c>
      <c r="D2" s="3102"/>
      <c r="E2" s="3102"/>
      <c r="F2" s="3102"/>
    </row>
    <row r="3" spans="1:6" ht="14.25">
      <c r="A3" s="3103" t="s">
        <v>2970</v>
      </c>
      <c r="B3" s="3104">
        <f ca="1">ROUND(B2*10000/E3,0)</f>
        <v>6323</v>
      </c>
      <c r="C3" s="3103" t="s">
        <v>2076</v>
      </c>
      <c r="D3" s="3103" t="s">
        <v>2938</v>
      </c>
      <c r="E3" s="3104">
        <f ca="1">SUMIF(E7:E14,"&lt;&gt;#ref!",E7:E14)</f>
        <v>124921.5</v>
      </c>
      <c r="F3" s="3102"/>
    </row>
    <row r="4" spans="1:6" ht="14.25">
      <c r="A4" s="3103" t="s">
        <v>2945</v>
      </c>
      <c r="B4" s="3104" t="e">
        <f ca="1">ROUND(B2*10000/E4,0)</f>
        <v>#DIV/0!</v>
      </c>
      <c r="C4" s="3103" t="s">
        <v>2076</v>
      </c>
      <c r="D4" s="3103" t="s">
        <v>2946</v>
      </c>
      <c r="E4" s="3104">
        <f ca="1">SUMIF(F7:F14,"&lt;&gt;#ref!",F7:F14)</f>
        <v>0</v>
      </c>
      <c r="F4" s="3102"/>
    </row>
    <row r="5" spans="1:6" ht="14.25">
      <c r="A5" s="3105"/>
      <c r="B5" s="1881"/>
      <c r="C5" s="1881"/>
      <c r="D5" s="1881"/>
      <c r="E5" s="1881"/>
      <c r="F5" s="3102"/>
    </row>
    <row r="6" spans="1:6" ht="28.5">
      <c r="A6" s="3106" t="s">
        <v>2942</v>
      </c>
      <c r="B6" s="3103" t="s">
        <v>2939</v>
      </c>
      <c r="C6" s="3104"/>
      <c r="D6" s="1881"/>
      <c r="E6" s="3103" t="s">
        <v>2940</v>
      </c>
      <c r="F6" s="3103" t="s">
        <v>2944</v>
      </c>
    </row>
    <row r="7" spans="1:6" ht="14.25">
      <c r="A7" s="260" t="s">
        <v>2943</v>
      </c>
      <c r="B7" s="3107">
        <f ca="1">SUMIF(INDIRECT("'"&amp;A7&amp;"'"&amp;"!A:A"),"总价",INDIRECT("'"&amp;A7&amp;"'"&amp;"!B:B"))</f>
        <v>78987</v>
      </c>
      <c r="C7" s="3103" t="s">
        <v>2937</v>
      </c>
      <c r="D7" s="1881"/>
      <c r="E7" s="3108">
        <f ca="1">SUMIF(INDIRECT("'"&amp;A7&amp;"'"&amp;"!C:C"),"建筑面积",INDIRECT("'"&amp;A7&amp;"'"&amp;"!D:D"))</f>
        <v>124921.5</v>
      </c>
      <c r="F7" s="3108">
        <f ca="1">SUMIF(INDIRECT("'"&amp;A7&amp;"'"&amp;"!E:E"),"土地面积",INDIRECT("'"&amp;A7&amp;"'"&amp;"!F:F"))</f>
        <v>0</v>
      </c>
    </row>
    <row r="8" spans="1:6" ht="14.25">
      <c r="A8" s="260" t="s">
        <v>3175</v>
      </c>
      <c r="B8" s="3107">
        <f t="shared" ref="B8:B14" ca="1" si="0">SUMIF(INDIRECT("'"&amp;A8&amp;"'"&amp;"!A:A"),"总价",INDIRECT("'"&amp;A8&amp;"'"&amp;"!B:B"))</f>
        <v>0</v>
      </c>
      <c r="C8" s="3103" t="s">
        <v>2937</v>
      </c>
      <c r="D8" s="1881"/>
      <c r="E8" s="3108">
        <f t="shared" ref="E8:E14" ca="1" si="1">SUMIF(INDIRECT("'"&amp;A8&amp;"'"&amp;"!C:C"),"建筑面积",INDIRECT("'"&amp;A8&amp;"'"&amp;"!D:D"))</f>
        <v>0</v>
      </c>
      <c r="F8" s="3108">
        <f t="shared" ref="F8:F14" ca="1" si="2">SUMIF(INDIRECT("'"&amp;A8&amp;"'"&amp;"!E:E"),"土地面积",INDIRECT("'"&amp;A8&amp;"'"&amp;"!F:F"))</f>
        <v>0</v>
      </c>
    </row>
    <row r="9" spans="1:6" ht="14.25">
      <c r="A9" s="260"/>
      <c r="B9" s="3107" t="e">
        <f t="shared" ca="1" si="0"/>
        <v>#REF!</v>
      </c>
      <c r="C9" s="3103" t="s">
        <v>2937</v>
      </c>
      <c r="D9" s="1881"/>
      <c r="E9" s="3108" t="e">
        <f t="shared" ca="1" si="1"/>
        <v>#REF!</v>
      </c>
      <c r="F9" s="3108" t="e">
        <f t="shared" ca="1" si="2"/>
        <v>#REF!</v>
      </c>
    </row>
    <row r="10" spans="1:6" ht="14.25">
      <c r="A10" s="260"/>
      <c r="B10" s="3107" t="e">
        <f t="shared" ca="1" si="0"/>
        <v>#REF!</v>
      </c>
      <c r="C10" s="3103" t="s">
        <v>2937</v>
      </c>
      <c r="D10" s="1881"/>
      <c r="E10" s="3108" t="e">
        <f t="shared" ca="1" si="1"/>
        <v>#REF!</v>
      </c>
      <c r="F10" s="3108" t="e">
        <f t="shared" ca="1" si="2"/>
        <v>#REF!</v>
      </c>
    </row>
    <row r="11" spans="1:6" ht="14.25">
      <c r="A11" s="260"/>
      <c r="B11" s="3107" t="e">
        <f t="shared" ca="1" si="0"/>
        <v>#REF!</v>
      </c>
      <c r="C11" s="3103" t="s">
        <v>2937</v>
      </c>
      <c r="D11" s="1881"/>
      <c r="E11" s="3108" t="e">
        <f t="shared" ca="1" si="1"/>
        <v>#REF!</v>
      </c>
      <c r="F11" s="3108" t="e">
        <f t="shared" ca="1" si="2"/>
        <v>#REF!</v>
      </c>
    </row>
    <row r="12" spans="1:6" ht="14.25">
      <c r="A12" s="260"/>
      <c r="B12" s="3107" t="e">
        <f t="shared" ca="1" si="0"/>
        <v>#REF!</v>
      </c>
      <c r="C12" s="3103" t="s">
        <v>2937</v>
      </c>
      <c r="D12" s="1881"/>
      <c r="E12" s="3108" t="e">
        <f t="shared" ca="1" si="1"/>
        <v>#REF!</v>
      </c>
      <c r="F12" s="3108" t="e">
        <f t="shared" ca="1" si="2"/>
        <v>#REF!</v>
      </c>
    </row>
    <row r="13" spans="1:6" ht="14.25">
      <c r="A13" s="260"/>
      <c r="B13" s="3107" t="e">
        <f t="shared" ca="1" si="0"/>
        <v>#REF!</v>
      </c>
      <c r="C13" s="3103" t="s">
        <v>2937</v>
      </c>
      <c r="D13" s="1881"/>
      <c r="E13" s="3108" t="e">
        <f t="shared" ca="1" si="1"/>
        <v>#REF!</v>
      </c>
      <c r="F13" s="3108" t="e">
        <f t="shared" ca="1" si="2"/>
        <v>#REF!</v>
      </c>
    </row>
    <row r="14" spans="1:6" ht="14.25">
      <c r="A14" s="3101"/>
      <c r="B14" s="3107" t="e">
        <f t="shared" ca="1" si="0"/>
        <v>#REF!</v>
      </c>
      <c r="C14" s="3103" t="s">
        <v>2937</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7" spans="1:4" ht="56.25">
      <c r="A7" s="1796" t="s">
        <v>2744</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2933</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21" spans="1:1" ht="18.75">
      <c r="A21" s="1792" t="s">
        <v>2072</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624</v>
      </c>
      <c r="B1" s="738"/>
      <c r="C1" s="773"/>
      <c r="D1" s="2050"/>
      <c r="E1" s="2387" t="s">
        <v>2372</v>
      </c>
      <c r="F1" s="2388">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625</v>
      </c>
      <c r="B2" s="775">
        <f ca="1">IF(ISERROR(C45+J31),0,C45+J31)</f>
        <v>0</v>
      </c>
      <c r="C2" s="1351"/>
      <c r="D2" s="2055"/>
      <c r="E2" s="2056"/>
      <c r="F2" s="2056"/>
      <c r="G2" s="1590"/>
      <c r="H2" s="1363"/>
      <c r="I2" s="2057"/>
      <c r="J2" s="2057"/>
      <c r="K2" s="2058"/>
      <c r="L2" s="2057"/>
      <c r="M2" s="2057"/>
    </row>
    <row r="3" spans="1:25" ht="18" customHeight="1">
      <c r="A3" s="1645" t="s">
        <v>1683</v>
      </c>
      <c r="B3" s="1391">
        <f ca="1">ROUND(B2*10000/'数据-汇总表'!E3,0)</f>
        <v>0</v>
      </c>
      <c r="C3" s="1351"/>
      <c r="D3" s="2055"/>
      <c r="E3" s="2056"/>
      <c r="F3" s="2056"/>
      <c r="G3" s="1590"/>
      <c r="H3" s="776" t="s">
        <v>691</v>
      </c>
      <c r="I3" s="2057"/>
      <c r="J3" s="2057"/>
      <c r="K3" s="2058"/>
      <c r="L3" s="2057"/>
      <c r="M3" s="2057"/>
    </row>
    <row r="4" spans="1:25" ht="18" customHeight="1">
      <c r="A4" s="1646" t="s">
        <v>692</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693</v>
      </c>
      <c r="D5" s="2055"/>
      <c r="E5" s="2056"/>
      <c r="F5" s="2056"/>
      <c r="G5" s="1590"/>
      <c r="H5" s="776"/>
      <c r="I5" s="2057"/>
      <c r="J5" s="2057"/>
      <c r="K5" s="2058"/>
      <c r="L5" s="2057"/>
      <c r="M5" s="2057"/>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2456</v>
      </c>
      <c r="C7" s="53">
        <f ca="1">C8+C12+C14</f>
        <v>0</v>
      </c>
      <c r="D7" s="2496" t="s">
        <v>2459</v>
      </c>
      <c r="E7" s="2490"/>
      <c r="F7" s="2491"/>
      <c r="G7" s="1592"/>
      <c r="H7" s="781">
        <v>1</v>
      </c>
      <c r="I7" s="782" t="s">
        <v>2456</v>
      </c>
      <c r="J7" s="53">
        <f ca="1">J8+J12+J14</f>
        <v>0</v>
      </c>
      <c r="K7" s="2496" t="s">
        <v>2459</v>
      </c>
      <c r="L7" s="2490"/>
      <c r="M7" s="2491"/>
    </row>
    <row r="8" spans="1:25" ht="18" customHeight="1">
      <c r="A8" s="1831" t="s">
        <v>1821</v>
      </c>
      <c r="B8" s="3443" t="s">
        <v>2461</v>
      </c>
      <c r="C8" s="1826">
        <f ca="1">ROUND(F8*F10*F9*(1-F11)/10000,0)</f>
        <v>0</v>
      </c>
      <c r="D8" s="1823" t="s">
        <v>2532</v>
      </c>
      <c r="E8" s="61" t="s">
        <v>633</v>
      </c>
      <c r="F8" s="785">
        <f ca="1">INDIRECT("'数据-取费表'!u"&amp;$G$1)</f>
        <v>0</v>
      </c>
      <c r="G8" s="1592"/>
      <c r="H8" s="2504" t="s">
        <v>1821</v>
      </c>
      <c r="I8" s="3443" t="s">
        <v>2461</v>
      </c>
      <c r="J8" s="783">
        <f ca="1">ROUND(M8*M10*M9*(1-M11)/10000,0)</f>
        <v>0</v>
      </c>
      <c r="K8" s="341" t="s">
        <v>2532</v>
      </c>
      <c r="L8" s="784" t="s">
        <v>1735</v>
      </c>
      <c r="M8" s="785">
        <f ca="1">INDIRECT("'数据-取费表'!z"&amp;$G$1)</f>
        <v>0</v>
      </c>
    </row>
    <row r="9" spans="1:25" ht="18" customHeight="1">
      <c r="A9" s="2500"/>
      <c r="B9" s="3444"/>
      <c r="C9" s="1827"/>
      <c r="D9" s="1824"/>
      <c r="E9" s="61" t="s">
        <v>634</v>
      </c>
      <c r="F9" s="785">
        <f ca="1">IF(INDIRECT("'数据-取费表'!ah"&amp;$G$1)="",INDIRECT("'数据-取费表'!k"&amp;$G$1),INDIRECT("'数据-取费表'!ah"&amp;$G$1))</f>
        <v>0</v>
      </c>
      <c r="G9" s="1592"/>
      <c r="H9" s="2489"/>
      <c r="I9" s="3444"/>
      <c r="J9" s="788"/>
      <c r="K9" s="789"/>
      <c r="L9" s="784" t="s">
        <v>1736</v>
      </c>
      <c r="M9" s="785">
        <f ca="1">F9</f>
        <v>0</v>
      </c>
    </row>
    <row r="10" spans="1:25" ht="18" customHeight="1">
      <c r="A10" s="2493"/>
      <c r="B10" s="3445"/>
      <c r="C10" s="1827"/>
      <c r="D10" s="1824"/>
      <c r="E10" s="61" t="s">
        <v>635</v>
      </c>
      <c r="F10" s="785">
        <f ca="1">INDIRECT("'数据-取费表'!ai"&amp;$G$1)</f>
        <v>0</v>
      </c>
      <c r="G10" s="1592"/>
      <c r="H10" s="2489"/>
      <c r="I10" s="3445"/>
      <c r="J10" s="788"/>
      <c r="K10" s="789"/>
      <c r="L10" s="784" t="s">
        <v>1737</v>
      </c>
      <c r="M10" s="785">
        <f ca="1">INDIRECT("'数据-取费表'!ai"&amp;$G$1)</f>
        <v>0</v>
      </c>
    </row>
    <row r="11" spans="1:25" ht="18" customHeight="1">
      <c r="A11" s="786"/>
      <c r="B11" s="3446"/>
      <c r="C11" s="1827"/>
      <c r="D11" s="1824"/>
      <c r="E11" s="61" t="s">
        <v>636</v>
      </c>
      <c r="F11" s="794">
        <f ca="1">INDIRECT("'数据-取费表'!w"&amp;$G$1)</f>
        <v>0</v>
      </c>
      <c r="G11" s="1592"/>
      <c r="H11" s="2505"/>
      <c r="I11" s="3445"/>
      <c r="J11" s="788"/>
      <c r="K11" s="789"/>
      <c r="L11" s="795" t="s">
        <v>1738</v>
      </c>
      <c r="M11" s="796">
        <f ca="1">INDIRECT("'数据-取费表'!ab"&amp;$G$1)</f>
        <v>0</v>
      </c>
    </row>
    <row r="12" spans="1:25" ht="18" customHeight="1">
      <c r="A12" s="1831" t="s">
        <v>1822</v>
      </c>
      <c r="B12" s="2494" t="s">
        <v>2457</v>
      </c>
      <c r="C12" s="799">
        <f ca="1">ROUND(IF(F12="押一",C8/12*F13,IF(F12="押二",C8/12*2*F13,IF(F12="押三",C8/12*3*F13,C13*F13))),0)</f>
        <v>0</v>
      </c>
      <c r="D12" s="2501" t="s">
        <v>2966</v>
      </c>
      <c r="E12" s="2498" t="s">
        <v>2462</v>
      </c>
      <c r="F12" s="2621"/>
      <c r="G12" s="1592"/>
      <c r="H12" s="2561" t="s">
        <v>1822</v>
      </c>
      <c r="I12" s="2566" t="s">
        <v>2457</v>
      </c>
      <c r="J12" s="783">
        <f ca="1">ROUND(IF(M12="押一",J8/12*M13,IF(M12="押二",J8/12*2*M13,IF(M12="押三",J8/12*3*M13,J13*M13))),0)</f>
        <v>0</v>
      </c>
      <c r="K12" s="2501" t="s">
        <v>2966</v>
      </c>
      <c r="L12" s="2498" t="s">
        <v>2462</v>
      </c>
      <c r="M12" s="2621"/>
    </row>
    <row r="13" spans="1:25" ht="18" customHeight="1">
      <c r="A13" s="790"/>
      <c r="B13" s="2495" t="s">
        <v>2571</v>
      </c>
      <c r="C13" s="2499"/>
      <c r="D13" s="789"/>
      <c r="E13" s="2498" t="s">
        <v>2454</v>
      </c>
      <c r="F13" s="796">
        <f ca="1">'数据-取费表'!B39</f>
        <v>1.4999999999999999E-2</v>
      </c>
      <c r="G13" s="1592"/>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2"/>
      <c r="H14" s="2551" t="s">
        <v>2465</v>
      </c>
      <c r="I14" s="2564" t="s">
        <v>2458</v>
      </c>
      <c r="J14" s="2565"/>
      <c r="K14" s="2540"/>
      <c r="L14" s="2541"/>
      <c r="M14" s="2554"/>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79" t="s">
        <v>642</v>
      </c>
      <c r="E16" s="1980"/>
      <c r="F16" s="805"/>
      <c r="G16" s="1592"/>
      <c r="H16" s="803" t="s">
        <v>2067</v>
      </c>
      <c r="I16" s="2231" t="s">
        <v>2822</v>
      </c>
      <c r="J16" s="53">
        <f ca="1">C31</f>
        <v>0</v>
      </c>
      <c r="K16" s="26"/>
      <c r="L16" s="801"/>
      <c r="M16" s="802"/>
    </row>
    <row r="17" spans="1:25" s="2064" customFormat="1" ht="18" customHeight="1">
      <c r="A17" s="803" t="s">
        <v>1846</v>
      </c>
      <c r="B17" s="784" t="s">
        <v>643</v>
      </c>
      <c r="C17" s="53">
        <f ca="1">ROUND(C16*F17,0)</f>
        <v>0</v>
      </c>
      <c r="D17" s="806" t="s">
        <v>644</v>
      </c>
      <c r="E17" s="806" t="s">
        <v>645</v>
      </c>
      <c r="F17" s="807">
        <f>'数据-取费表'!B33</f>
        <v>0.03</v>
      </c>
      <c r="G17" s="1593"/>
      <c r="H17" s="803" t="s">
        <v>2068</v>
      </c>
      <c r="I17" s="784" t="s">
        <v>639</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2"/>
      <c r="M18" s="56"/>
    </row>
    <row r="19" spans="1:25" s="2064"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2067</v>
      </c>
      <c r="I19" s="784" t="s">
        <v>652</v>
      </c>
      <c r="J19" s="53">
        <f ca="1">ROUND(IF(项目基本情况!B11="自然人",J7*M19,J20+J21+J22),0)</f>
        <v>0</v>
      </c>
      <c r="K19" s="1979" t="s">
        <v>653</v>
      </c>
      <c r="L19" s="1977" t="s">
        <v>654</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7" t="s">
        <v>657</v>
      </c>
      <c r="L20" s="784" t="s">
        <v>645</v>
      </c>
      <c r="M20" s="809">
        <f>'数据-取费表'!B41</f>
        <v>5.5000000000000007E-2</v>
      </c>
      <c r="N20" s="2063"/>
      <c r="O20" s="2063"/>
      <c r="P20" s="2063"/>
      <c r="Q20" s="2063"/>
      <c r="R20" s="2063"/>
      <c r="S20" s="2063"/>
      <c r="T20" s="2063"/>
      <c r="U20" s="2063"/>
      <c r="V20" s="2063"/>
      <c r="W20" s="2063"/>
      <c r="X20" s="2063"/>
      <c r="Y20" s="2063"/>
    </row>
    <row r="21" spans="1:25" ht="18" customHeight="1">
      <c r="A21" s="803" t="s">
        <v>1873</v>
      </c>
      <c r="B21" s="784" t="s">
        <v>658</v>
      </c>
      <c r="C21" s="53">
        <f ca="1">SUM(C16:C20)</f>
        <v>0</v>
      </c>
      <c r="D21" s="261" t="s">
        <v>659</v>
      </c>
      <c r="E21" s="1982"/>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4" customFormat="1" ht="18" customHeight="1">
      <c r="A22" s="803" t="s">
        <v>1874</v>
      </c>
      <c r="B22" s="784" t="s">
        <v>662</v>
      </c>
      <c r="C22" s="53">
        <f ca="1">ROUND(C21*F22,0)</f>
        <v>0</v>
      </c>
      <c r="D22" s="812" t="s">
        <v>663</v>
      </c>
      <c r="E22" s="784" t="s">
        <v>645</v>
      </c>
      <c r="F22" s="809">
        <f>'数据-取费表'!B37</f>
        <v>0.01</v>
      </c>
      <c r="G22" s="1593"/>
      <c r="H22" s="1833" t="s">
        <v>1847</v>
      </c>
      <c r="I22" s="1823" t="s">
        <v>664</v>
      </c>
      <c r="J22" s="54">
        <f ca="1">ROUND(M22*M23/10000,0)</f>
        <v>0</v>
      </c>
      <c r="K22" s="814" t="s">
        <v>665</v>
      </c>
      <c r="L22" s="784" t="s">
        <v>666</v>
      </c>
      <c r="M22" s="640">
        <f>'数据-取费表'!B52</f>
        <v>1.5</v>
      </c>
      <c r="N22" s="2063"/>
      <c r="O22" s="2063"/>
      <c r="P22" s="2063"/>
      <c r="Q22" s="2063"/>
      <c r="R22" s="2063"/>
      <c r="S22" s="2063"/>
      <c r="T22" s="2063"/>
      <c r="U22" s="2063"/>
      <c r="V22" s="2063"/>
      <c r="W22" s="2063"/>
      <c r="X22" s="2063"/>
      <c r="Y22" s="2063"/>
    </row>
    <row r="23" spans="1:25" s="2064" customFormat="1" ht="18" customHeight="1">
      <c r="A23" s="803" t="s">
        <v>1875</v>
      </c>
      <c r="B23" s="784" t="s">
        <v>667</v>
      </c>
      <c r="C23" s="53" t="s">
        <v>1</v>
      </c>
      <c r="D23" s="812" t="s">
        <v>668</v>
      </c>
      <c r="E23" s="784" t="s">
        <v>669</v>
      </c>
      <c r="F23" s="809">
        <f>'数据-取费表'!B38</f>
        <v>0.01</v>
      </c>
      <c r="G23" s="1593"/>
      <c r="H23" s="1834"/>
      <c r="I23" s="1825"/>
      <c r="J23" s="69"/>
      <c r="K23" s="816"/>
      <c r="L23" s="784" t="s">
        <v>670</v>
      </c>
      <c r="M23" s="785">
        <f ca="1">INDIRECT("'数据-取费表'!r"&amp;$G$1)</f>
        <v>0</v>
      </c>
      <c r="N23" s="2063"/>
      <c r="O23" s="2063"/>
      <c r="P23" s="2063"/>
      <c r="Q23" s="2063"/>
      <c r="R23" s="2063"/>
      <c r="S23" s="2063"/>
      <c r="T23" s="2063"/>
      <c r="U23" s="2063"/>
      <c r="V23" s="2063"/>
      <c r="W23" s="2063"/>
      <c r="X23" s="2063"/>
      <c r="Y23" s="2063"/>
    </row>
    <row r="24" spans="1:25" ht="18" customHeight="1">
      <c r="A24" s="803" t="s">
        <v>1876</v>
      </c>
      <c r="B24" s="784" t="s">
        <v>671</v>
      </c>
      <c r="C24" s="53"/>
      <c r="D24" s="2572" t="str">
        <f>IF(F25&lt;=1,"单利计息。","复利计息。")&amp;"建造成本、管理费用、销售费用产生的利息。"</f>
        <v>复利计息。建造成本、管理费用、销售费用产生的利息。</v>
      </c>
      <c r="E24" s="1982"/>
      <c r="F24" s="56"/>
      <c r="G24" s="1592"/>
      <c r="H24" s="1832" t="s">
        <v>2068</v>
      </c>
      <c r="I24" s="784" t="s">
        <v>672</v>
      </c>
      <c r="J24" s="53">
        <f ca="1">ROUND(J16*M24,0)</f>
        <v>0</v>
      </c>
      <c r="K24" s="1977" t="s">
        <v>673</v>
      </c>
      <c r="L24" s="784" t="s">
        <v>645</v>
      </c>
      <c r="M24" s="817">
        <f ca="1">INDIRECT("'数据-取费表'!Ak"&amp;$G$1)</f>
        <v>0</v>
      </c>
    </row>
    <row r="25" spans="1:25" s="2064" customFormat="1" ht="18" customHeight="1">
      <c r="A25" s="803" t="s">
        <v>1872</v>
      </c>
      <c r="B25" s="784" t="s">
        <v>2435</v>
      </c>
      <c r="C25" s="53">
        <f ca="1">ROUND(IF('数据-取费表'!B22&lt;=1,(C21+C22)*F26*F25/2,(C21+C22)*(POWER((1+F26),F25/2)-1)),0)</f>
        <v>0</v>
      </c>
      <c r="D25" s="2571"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7" t="s">
        <v>676</v>
      </c>
      <c r="L25" s="784" t="s">
        <v>645</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1846</v>
      </c>
      <c r="B26" s="784" t="s">
        <v>677</v>
      </c>
      <c r="C26" s="53">
        <f ca="1">ROUND(IF('数据-取费表'!B22&lt;=1,F23*F26*F25/2,F23*(POWER((1+F26),F25/2)-1)),4)</f>
        <v>5.0000000000000001E-4</v>
      </c>
      <c r="D26" s="2571"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7" t="s">
        <v>679</v>
      </c>
      <c r="L26" s="784" t="s">
        <v>645</v>
      </c>
      <c r="M26" s="794">
        <f ca="1">INDIRECT("'数据-取费表'!Am"&amp;$G$1)</f>
        <v>0</v>
      </c>
      <c r="N26" s="2063"/>
      <c r="O26" s="2063"/>
      <c r="P26" s="2063"/>
      <c r="Q26" s="2063"/>
      <c r="R26" s="2063"/>
      <c r="S26" s="2063"/>
      <c r="T26" s="2063"/>
      <c r="U26" s="2063"/>
      <c r="V26" s="2063"/>
      <c r="W26" s="2063"/>
      <c r="X26" s="2063"/>
      <c r="Y26" s="2063"/>
    </row>
    <row r="27" spans="1:25" ht="18" customHeight="1">
      <c r="A27" s="803" t="s">
        <v>1878</v>
      </c>
      <c r="B27" s="784" t="s">
        <v>680</v>
      </c>
      <c r="C27" s="53"/>
      <c r="D27" s="261" t="s">
        <v>681</v>
      </c>
      <c r="E27" s="1982"/>
      <c r="F27" s="56"/>
      <c r="G27" s="1592"/>
      <c r="H27" s="797" t="s">
        <v>1825</v>
      </c>
      <c r="I27" s="3011" t="s">
        <v>2819</v>
      </c>
      <c r="J27" s="799">
        <f ca="1">J7-J18</f>
        <v>0</v>
      </c>
      <c r="K27" s="1979" t="s">
        <v>696</v>
      </c>
      <c r="L27" s="1981"/>
      <c r="M27" s="820"/>
    </row>
    <row r="28" spans="1:25" ht="18" customHeight="1">
      <c r="A28" s="803" t="s">
        <v>1872</v>
      </c>
      <c r="B28" s="784" t="s">
        <v>2436</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4" customFormat="1" ht="18" customHeight="1">
      <c r="A30" s="803" t="s">
        <v>1879</v>
      </c>
      <c r="B30" s="784" t="s">
        <v>683</v>
      </c>
      <c r="C30" s="53">
        <f>ROUND(F30/(1+'数据-取费表'!C42),4)</f>
        <v>5.2400000000000002E-2</v>
      </c>
      <c r="D30" s="812" t="s">
        <v>705</v>
      </c>
      <c r="E30" s="784" t="s">
        <v>645</v>
      </c>
      <c r="F30" s="809">
        <f>'数据-取费表'!B41</f>
        <v>5.5000000000000007E-2</v>
      </c>
      <c r="G30" s="1593"/>
      <c r="H30" s="790"/>
      <c r="I30" s="791"/>
      <c r="J30" s="792"/>
      <c r="K30" s="816"/>
      <c r="L30" s="784" t="s">
        <v>706</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1880</v>
      </c>
      <c r="B31" s="2541" t="s">
        <v>2820</v>
      </c>
      <c r="C31" s="2544">
        <f ca="1">ROUND((C21+C22+C25+C28)/(1-F23-C26-C29-C30),0)</f>
        <v>0</v>
      </c>
      <c r="D31" s="2545"/>
      <c r="E31" s="2546"/>
      <c r="F31" s="2547"/>
      <c r="G31" s="1593"/>
      <c r="H31" s="823" t="s">
        <v>1869</v>
      </c>
      <c r="I31" s="3012" t="s">
        <v>2821</v>
      </c>
      <c r="J31" s="825">
        <f ca="1">ROUND(J28/(1+F45)^F46,0)</f>
        <v>0</v>
      </c>
      <c r="K31" s="826" t="s">
        <v>684</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2">
        <f ca="1">ROUND(C33+C38+C39+C40,0)</f>
        <v>0</v>
      </c>
      <c r="D32" s="1822" t="s">
        <v>648</v>
      </c>
      <c r="E32" s="2487"/>
      <c r="F32" s="2491"/>
      <c r="G32" s="2062"/>
      <c r="H32" s="2065"/>
      <c r="I32" s="2066"/>
      <c r="J32" s="2067"/>
      <c r="K32" s="2068"/>
      <c r="L32" s="2069"/>
      <c r="M32" s="2070"/>
    </row>
    <row r="33" spans="1:18" ht="18" customHeight="1">
      <c r="A33" s="803" t="s">
        <v>1873</v>
      </c>
      <c r="B33" s="784" t="s">
        <v>652</v>
      </c>
      <c r="C33" s="53">
        <f ca="1">ROUND(IF(项目基本情况!B11="自然人",C7*F33,C34+C35+C36),1)</f>
        <v>0</v>
      </c>
      <c r="D33" s="1979" t="s">
        <v>653</v>
      </c>
      <c r="E33" s="1977" t="s">
        <v>686</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1872</v>
      </c>
      <c r="B34" s="784" t="s">
        <v>656</v>
      </c>
      <c r="C34" s="53">
        <f ca="1">ROUND(C7*F34/1.05,1)</f>
        <v>0</v>
      </c>
      <c r="D34" s="1977" t="s">
        <v>657</v>
      </c>
      <c r="E34" s="784" t="s">
        <v>645</v>
      </c>
      <c r="F34" s="809">
        <f>'数据-取费表'!B41</f>
        <v>5.5000000000000007E-2</v>
      </c>
      <c r="G34" s="2062"/>
      <c r="H34" s="2071"/>
      <c r="I34" s="2072"/>
      <c r="J34" s="2073"/>
      <c r="K34" s="2074"/>
      <c r="L34" s="2075"/>
      <c r="M34" s="2076"/>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2"/>
      <c r="H35" s="2077"/>
      <c r="I35" s="2077"/>
      <c r="J35" s="2077"/>
      <c r="K35" s="2078"/>
      <c r="L35" s="2077"/>
      <c r="M35" s="2077"/>
    </row>
    <row r="36" spans="1:18" ht="18" customHeight="1">
      <c r="A36" s="813" t="s">
        <v>1877</v>
      </c>
      <c r="B36" s="341" t="s">
        <v>664</v>
      </c>
      <c r="C36" s="54">
        <f ca="1">ROUND(F36*F37/10000,1)</f>
        <v>0</v>
      </c>
      <c r="D36" s="814" t="s">
        <v>665</v>
      </c>
      <c r="E36" s="784" t="s">
        <v>666</v>
      </c>
      <c r="F36" s="640">
        <f>'数据-取费表'!B52</f>
        <v>1.5</v>
      </c>
      <c r="G36" s="2062"/>
      <c r="H36" s="2065"/>
      <c r="I36" s="3442"/>
      <c r="J36" s="2079"/>
      <c r="K36" s="2080"/>
      <c r="L36" s="2079"/>
      <c r="M36" s="2079"/>
    </row>
    <row r="37" spans="1:18" ht="18" customHeight="1">
      <c r="A37" s="815"/>
      <c r="B37" s="793"/>
      <c r="C37" s="69"/>
      <c r="D37" s="816"/>
      <c r="E37" s="784" t="s">
        <v>670</v>
      </c>
      <c r="F37" s="785">
        <f ca="1">INDIRECT("'数据-取费表'!r"&amp;$G$1)</f>
        <v>0</v>
      </c>
      <c r="G37" s="2062"/>
      <c r="H37" s="2065"/>
      <c r="I37" s="3442"/>
      <c r="J37" s="2077"/>
      <c r="K37" s="2078"/>
      <c r="L37" s="2077"/>
      <c r="M37" s="2077"/>
    </row>
    <row r="38" spans="1:18" ht="18" customHeight="1">
      <c r="A38" s="803" t="s">
        <v>1874</v>
      </c>
      <c r="B38" s="784" t="s">
        <v>672</v>
      </c>
      <c r="C38" s="53">
        <f ca="1">ROUND(C31*F38,1)</f>
        <v>0</v>
      </c>
      <c r="D38" s="1977" t="s">
        <v>687</v>
      </c>
      <c r="E38" s="784" t="s">
        <v>645</v>
      </c>
      <c r="F38" s="817">
        <f ca="1">INDIRECT("'数据-取费表'!Ak"&amp;$G$1)</f>
        <v>0</v>
      </c>
      <c r="G38" s="2062"/>
      <c r="H38" s="2077"/>
      <c r="I38" s="2081"/>
      <c r="J38" s="1988"/>
      <c r="K38" s="2082"/>
      <c r="L38" s="2077"/>
      <c r="M38" s="2077"/>
    </row>
    <row r="39" spans="1:18" ht="18" customHeight="1">
      <c r="A39" s="803" t="s">
        <v>1875</v>
      </c>
      <c r="B39" s="784" t="s">
        <v>675</v>
      </c>
      <c r="C39" s="53">
        <f ca="1">ROUND(C15*F39,1)</f>
        <v>0</v>
      </c>
      <c r="D39" s="1977" t="s">
        <v>676</v>
      </c>
      <c r="E39" s="784" t="s">
        <v>645</v>
      </c>
      <c r="F39" s="818">
        <f ca="1">INDIRECT("'数据-取费表'!Al"&amp;$G$1)</f>
        <v>0</v>
      </c>
      <c r="G39" s="2062"/>
      <c r="H39" s="2077"/>
      <c r="I39" s="2081"/>
      <c r="J39" s="1988"/>
      <c r="K39" s="2082"/>
      <c r="L39" s="2077"/>
      <c r="M39" s="2077"/>
    </row>
    <row r="40" spans="1:18" ht="18" customHeight="1" thickBot="1">
      <c r="A40" s="2560" t="s">
        <v>1876</v>
      </c>
      <c r="B40" s="2546" t="s">
        <v>662</v>
      </c>
      <c r="C40" s="2544">
        <f ca="1">ROUND(C7*F40,1)</f>
        <v>0</v>
      </c>
      <c r="D40" s="2545" t="s">
        <v>679</v>
      </c>
      <c r="E40" s="2546" t="s">
        <v>645</v>
      </c>
      <c r="F40" s="2542">
        <f ca="1">INDIRECT("'数据-取费表'!Am"&amp;$G$1)</f>
        <v>0</v>
      </c>
      <c r="G40" s="2062"/>
      <c r="H40" s="2077"/>
      <c r="I40" s="2081"/>
      <c r="J40" s="1988"/>
      <c r="K40" s="2083"/>
      <c r="L40" s="2077"/>
      <c r="M40" s="2077"/>
    </row>
    <row r="41" spans="1:18" ht="18" customHeight="1" thickTop="1">
      <c r="A41" s="1830">
        <v>4</v>
      </c>
      <c r="B41" s="1828" t="s">
        <v>688</v>
      </c>
      <c r="C41" s="1353"/>
      <c r="D41" s="1354"/>
      <c r="E41" s="1354"/>
      <c r="F41" s="1355"/>
      <c r="G41" s="2062"/>
      <c r="H41" s="2062"/>
      <c r="I41" s="2062"/>
      <c r="J41" s="2062"/>
      <c r="K41" s="2083"/>
      <c r="L41" s="2062"/>
      <c r="M41" s="2062"/>
    </row>
    <row r="42" spans="1:18" ht="18" customHeight="1">
      <c r="A42" s="803" t="s">
        <v>1873</v>
      </c>
      <c r="B42" s="835" t="s">
        <v>689</v>
      </c>
      <c r="C42" s="829">
        <f ca="1">C7-C32</f>
        <v>0</v>
      </c>
      <c r="D42" s="1979" t="s">
        <v>690</v>
      </c>
      <c r="E42" s="1981"/>
      <c r="F42" s="820"/>
      <c r="G42" s="2062"/>
      <c r="H42" s="2062"/>
      <c r="I42" s="2062"/>
      <c r="J42" s="2062"/>
      <c r="K42" s="2083"/>
      <c r="L42" s="2062"/>
      <c r="M42" s="2062"/>
    </row>
    <row r="43" spans="1:18" ht="18" customHeight="1">
      <c r="A43" s="803" t="s">
        <v>1874</v>
      </c>
      <c r="B43" s="835" t="s">
        <v>707</v>
      </c>
      <c r="C43" s="836">
        <f ca="1">ROUND(C15*F43,0)</f>
        <v>0</v>
      </c>
      <c r="D43" s="1356" t="s">
        <v>708</v>
      </c>
      <c r="E43" s="3119" t="s">
        <v>2954</v>
      </c>
      <c r="F43" s="3120">
        <f ca="1">INDIRECT("'数据-取费表'!j"&amp;$G$1)</f>
        <v>0</v>
      </c>
      <c r="G43" s="2062"/>
      <c r="H43" s="2062"/>
      <c r="I43" s="2062"/>
      <c r="J43" s="2062"/>
      <c r="K43" s="2083"/>
      <c r="L43" s="2062"/>
      <c r="M43" s="2062"/>
    </row>
    <row r="44" spans="1:18" ht="18" customHeight="1">
      <c r="A44" s="803" t="s">
        <v>1875</v>
      </c>
      <c r="B44" s="835" t="s">
        <v>709</v>
      </c>
      <c r="C44" s="1357">
        <f ca="1">C42-C43</f>
        <v>0</v>
      </c>
      <c r="D44" s="463" t="s">
        <v>710</v>
      </c>
      <c r="E44" s="464"/>
      <c r="F44" s="465"/>
      <c r="G44" s="2062"/>
      <c r="H44" s="2062"/>
      <c r="I44" s="2062"/>
      <c r="J44" s="2062"/>
      <c r="K44" s="2083"/>
      <c r="L44" s="2062"/>
      <c r="M44" s="2062"/>
    </row>
    <row r="45" spans="1:18" ht="18" customHeight="1">
      <c r="A45" s="803" t="s">
        <v>1876</v>
      </c>
      <c r="B45" s="1356" t="s">
        <v>711</v>
      </c>
      <c r="C45" s="3037">
        <f ca="1">ROUND(-PV(F45,F46,C44,0),0)</f>
        <v>0</v>
      </c>
      <c r="D45" s="1358" t="s">
        <v>712</v>
      </c>
      <c r="E45" s="806" t="s">
        <v>713</v>
      </c>
      <c r="F45" s="830">
        <f ca="1">INDIRECT("'数据-取费表'!h"&amp;$G$1)</f>
        <v>0</v>
      </c>
      <c r="G45" s="2062"/>
      <c r="H45" s="2062"/>
      <c r="I45" s="2062"/>
      <c r="J45" s="2062"/>
      <c r="K45" s="2083"/>
      <c r="L45" s="2062"/>
      <c r="M45" s="2062"/>
    </row>
    <row r="46" spans="1:18" ht="18" customHeight="1" thickBot="1">
      <c r="A46" s="831"/>
      <c r="B46" s="1359"/>
      <c r="C46" s="1360"/>
      <c r="D46" s="1361"/>
      <c r="E46" s="3121" t="s">
        <v>2957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7" t="str">
        <f ca="1">IF(M48="住宅",0,IF(L49&gt;J52,L61,J61))</f>
        <v>0</v>
      </c>
      <c r="O47" s="2394" t="s">
        <v>2408</v>
      </c>
      <c r="P47" s="1592"/>
      <c r="Q47" s="1604"/>
      <c r="R47" s="1592"/>
    </row>
    <row r="48" spans="1:18" s="2059" customFormat="1" ht="18" customHeight="1" thickBot="1">
      <c r="A48" s="2084"/>
      <c r="C48" s="2087"/>
      <c r="D48" s="2088"/>
      <c r="E48" s="2088"/>
      <c r="F48" s="2089"/>
      <c r="G48" s="2090"/>
      <c r="I48" s="3147" t="s">
        <v>2342</v>
      </c>
      <c r="J48" s="2381"/>
      <c r="K48" s="3154" t="s">
        <v>2347</v>
      </c>
      <c r="L48" s="3158">
        <f ca="1">INDIRECT("'数据-取费表'!d"&amp;$G$1)</f>
        <v>0</v>
      </c>
      <c r="M48" s="3118"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3" t="s">
        <v>2343</v>
      </c>
      <c r="J49" s="2382"/>
      <c r="K49" s="3155"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3" t="s">
        <v>2344</v>
      </c>
      <c r="J50" s="2383"/>
      <c r="K50" s="3156"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3" t="s">
        <v>2345</v>
      </c>
      <c r="J51" s="3151">
        <f>SUMPRODUCT((I64:I66=J48)*(J63:L63=J49)*(J64:L66))</f>
        <v>0</v>
      </c>
      <c r="K51" s="3156" t="s">
        <v>2351</v>
      </c>
      <c r="L51" s="2384"/>
      <c r="O51" s="2401" t="s">
        <v>2381</v>
      </c>
      <c r="P51" s="2399" t="s">
        <v>2405</v>
      </c>
      <c r="Q51" s="2400">
        <f ca="1">C31</f>
        <v>0</v>
      </c>
      <c r="R51" s="2399" t="s">
        <v>2378</v>
      </c>
    </row>
    <row r="52" spans="1:18" s="2059" customFormat="1" ht="18" customHeight="1" thickBot="1">
      <c r="A52" s="2096"/>
      <c r="F52" s="2085"/>
      <c r="I52" s="3148" t="s">
        <v>2346</v>
      </c>
      <c r="J52" s="3152">
        <f>IF(J50="",J51,J50+J51-YEAR('数据-取费表'!B3))</f>
        <v>0</v>
      </c>
      <c r="K52" s="3123" t="s">
        <v>2352</v>
      </c>
      <c r="L52" s="3159">
        <f ca="1">ROUND(-PV(INDIRECT("'数据-取费表'!h"&amp;$G$1),L49,(C40-C14*J36),0),0)</f>
        <v>0</v>
      </c>
      <c r="O52" s="2401" t="s">
        <v>2382</v>
      </c>
      <c r="P52" s="2399" t="s">
        <v>2383</v>
      </c>
      <c r="Q52" s="2402" t="e">
        <f ca="1">J59</f>
        <v>#VALUE!</v>
      </c>
      <c r="R52" s="2403"/>
    </row>
    <row r="53" spans="1:18" s="2059" customFormat="1" ht="18" customHeight="1" thickBot="1">
      <c r="A53" s="2096"/>
      <c r="F53" s="2085"/>
      <c r="I53" s="3149" t="s">
        <v>2419</v>
      </c>
      <c r="J53" s="2385"/>
      <c r="K53" s="3149" t="s">
        <v>2418</v>
      </c>
      <c r="L53" s="2385"/>
      <c r="O53" s="2401" t="s">
        <v>2384</v>
      </c>
      <c r="P53" s="2399" t="s">
        <v>2385</v>
      </c>
      <c r="Q53" s="2402">
        <f>J53</f>
        <v>0</v>
      </c>
      <c r="R53" s="2403"/>
    </row>
    <row r="54" spans="1:18" s="2059" customFormat="1" ht="29.25" thickBot="1">
      <c r="A54" s="2096"/>
      <c r="I54" s="3150" t="s">
        <v>2971</v>
      </c>
      <c r="J54" s="3153">
        <f ca="1">IF(M48="住宅",MAX(J52,L49-'数据-取费表'!B20),MIN(J52,L49-'数据-取费表'!B20))</f>
        <v>-2</v>
      </c>
      <c r="K54" s="3447"/>
      <c r="L54" s="3448"/>
      <c r="O54" s="2401" t="s">
        <v>2386</v>
      </c>
      <c r="P54" s="2399" t="s">
        <v>2387</v>
      </c>
      <c r="Q54" s="2400">
        <f ca="1">J54</f>
        <v>-2</v>
      </c>
      <c r="R54" s="2399" t="s">
        <v>2388</v>
      </c>
    </row>
    <row r="55" spans="1:18" s="2059" customFormat="1" ht="18" customHeight="1" thickBot="1">
      <c r="A55" s="2096"/>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8" t="s">
        <v>2389</v>
      </c>
      <c r="P55" s="2399" t="s">
        <v>2406</v>
      </c>
      <c r="Q55" s="2400">
        <f ca="1">Q49+Q50</f>
        <v>0</v>
      </c>
      <c r="R55" s="2403" t="s">
        <v>2390</v>
      </c>
    </row>
    <row r="56" spans="1:18" s="2059" customFormat="1" ht="16.5" thickBot="1">
      <c r="A56" s="2096"/>
      <c r="B56" s="2097"/>
      <c r="C56" s="2097"/>
      <c r="I56" s="3162" t="s">
        <v>2353</v>
      </c>
      <c r="J56" s="3098" t="e">
        <f ca="1">ROUND(IF(J48="钢混",J58/J51,1-(1-2%)*(J51-J58)/J51),3)</f>
        <v>#VALUE!</v>
      </c>
      <c r="K56" s="3163" t="s">
        <v>2354</v>
      </c>
      <c r="L56" s="2386"/>
      <c r="O56" s="2404" t="s">
        <v>2409</v>
      </c>
      <c r="P56" s="1592"/>
      <c r="Q56" s="1604"/>
      <c r="R56" s="1592"/>
    </row>
    <row r="57" spans="1:18" s="2059" customFormat="1" ht="43.5" thickBot="1">
      <c r="A57" s="2096"/>
      <c r="B57" s="2097"/>
      <c r="C57" s="2097"/>
      <c r="I57" s="3164" t="s">
        <v>2355</v>
      </c>
      <c r="J57" s="3174" t="s">
        <v>1675</v>
      </c>
      <c r="K57" s="3123" t="s">
        <v>2360</v>
      </c>
      <c r="L57" s="1908">
        <f ca="1">IF(L49&lt;J52,"——",L49-J52)</f>
        <v>0</v>
      </c>
      <c r="O57" s="2395" t="s">
        <v>2373</v>
      </c>
      <c r="P57" s="2396" t="s">
        <v>2374</v>
      </c>
      <c r="Q57" s="2397" t="s">
        <v>2375</v>
      </c>
      <c r="R57" s="2396" t="s">
        <v>2376</v>
      </c>
    </row>
    <row r="58" spans="1:18" s="2059" customFormat="1" ht="29.25" thickBot="1">
      <c r="A58" s="2096"/>
      <c r="B58" s="2097"/>
      <c r="C58" s="2097"/>
      <c r="I58" s="3165" t="s">
        <v>2356</v>
      </c>
      <c r="J58" s="3166" t="str">
        <f ca="1">IF(OR(M48="住宅",J52&lt;L49,J57="是"),"——",J52-L49)</f>
        <v>——</v>
      </c>
      <c r="K58" s="3123"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5" t="s">
        <v>2357</v>
      </c>
      <c r="J59" s="3099" t="e">
        <f ca="1">IF(J56&lt;0.4,0.4,J56)</f>
        <v>#VALUE!</v>
      </c>
      <c r="K59" s="3123"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5" t="s">
        <v>2358</v>
      </c>
      <c r="J60" s="3166" t="str">
        <f ca="1">IF(OR(M48="住宅",J52&lt;L49,J57="是"),"——",ROUND(C30*J59,0))</f>
        <v>——</v>
      </c>
      <c r="K60" s="3123"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7" t="s">
        <v>2359</v>
      </c>
      <c r="J61" s="3168" t="str">
        <f ca="1">IF(OR(M48="住宅",J52&lt;L49,J57="是"),"0",ROUND(J60/(1+J53)^J54,0))</f>
        <v>0</v>
      </c>
      <c r="K61" s="3169" t="s">
        <v>2364</v>
      </c>
      <c r="L61" s="3168"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0" t="s">
        <v>2365</v>
      </c>
      <c r="J63" s="3171" t="s">
        <v>2366</v>
      </c>
      <c r="K63" s="3171" t="s">
        <v>2367</v>
      </c>
      <c r="L63" s="3171" t="s">
        <v>2348</v>
      </c>
      <c r="M63" s="3172" t="s">
        <v>2934</v>
      </c>
      <c r="O63" s="2401" t="s">
        <v>2386</v>
      </c>
      <c r="P63" s="2399" t="s">
        <v>2394</v>
      </c>
      <c r="Q63" s="2400">
        <f ca="1">L60</f>
        <v>0</v>
      </c>
      <c r="R63" s="2403" t="s">
        <v>2395</v>
      </c>
    </row>
    <row r="64" spans="1:18" s="2059" customFormat="1" ht="15.75" thickBot="1">
      <c r="A64" s="2096"/>
      <c r="B64" s="2097"/>
      <c r="C64" s="2097"/>
      <c r="I64" s="3170" t="s">
        <v>2368</v>
      </c>
      <c r="J64" s="3171">
        <v>70</v>
      </c>
      <c r="K64" s="3171">
        <v>50</v>
      </c>
      <c r="L64" s="3171">
        <v>80</v>
      </c>
      <c r="M64" s="3173">
        <v>0.02</v>
      </c>
      <c r="O64" s="2398" t="s">
        <v>2389</v>
      </c>
      <c r="P64" s="2399" t="s">
        <v>2406</v>
      </c>
      <c r="Q64" s="2400" t="e">
        <f ca="1">Q58+Q59</f>
        <v>#DIV/0!</v>
      </c>
      <c r="R64" s="2403" t="s">
        <v>2390</v>
      </c>
    </row>
    <row r="65" spans="1:18" s="2059" customFormat="1" ht="16.5" thickBot="1">
      <c r="A65" s="2096"/>
      <c r="B65" s="2097"/>
      <c r="C65" s="2097"/>
      <c r="I65" s="3170" t="s">
        <v>2369</v>
      </c>
      <c r="J65" s="3171">
        <v>50</v>
      </c>
      <c r="K65" s="3171">
        <v>35</v>
      </c>
      <c r="L65" s="3171">
        <v>60</v>
      </c>
      <c r="M65" s="846">
        <v>0</v>
      </c>
      <c r="O65" s="2404" t="s">
        <v>2413</v>
      </c>
      <c r="P65" s="1592"/>
      <c r="Q65" s="1604"/>
      <c r="R65" s="1592"/>
    </row>
    <row r="66" spans="1:18" s="2059" customFormat="1" ht="15.75" thickBot="1">
      <c r="A66" s="2096"/>
      <c r="B66" s="2097"/>
      <c r="C66" s="2097"/>
      <c r="I66" s="3170" t="s">
        <v>2370</v>
      </c>
      <c r="J66" s="3171">
        <v>40</v>
      </c>
      <c r="K66" s="3171">
        <v>30</v>
      </c>
      <c r="L66" s="3171">
        <v>50</v>
      </c>
      <c r="M66" s="3173">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H107"/>
  <sheetViews>
    <sheetView topLeftCell="E1" zoomScale="80" zoomScaleNormal="80" workbookViewId="0">
      <selection activeCell="K16" sqref="K6:K1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1" t="s">
        <v>2574</v>
      </c>
      <c r="C1" s="3451"/>
      <c r="D1" s="3451"/>
      <c r="E1" s="3451"/>
      <c r="F1" s="3451"/>
      <c r="G1" s="3450" t="s">
        <v>2575</v>
      </c>
      <c r="H1" s="3450"/>
      <c r="I1" s="3450"/>
      <c r="J1" s="3450"/>
      <c r="K1" s="3450"/>
      <c r="L1" s="3450"/>
      <c r="N1" s="3450" t="s">
        <v>2576</v>
      </c>
      <c r="O1" s="3450"/>
      <c r="P1" s="3450"/>
      <c r="Q1" s="3450"/>
      <c r="R1" s="2654"/>
      <c r="S1" s="3450" t="s">
        <v>2577</v>
      </c>
      <c r="T1" s="3450"/>
      <c r="U1" s="3450"/>
      <c r="V1" s="3450"/>
      <c r="X1" s="3449" t="s">
        <v>2637</v>
      </c>
      <c r="Y1" s="3450"/>
      <c r="Z1" s="3450"/>
      <c r="AA1" s="3450"/>
      <c r="AB1" s="3450"/>
      <c r="AD1" s="3449" t="s">
        <v>2641</v>
      </c>
      <c r="AE1" s="3450"/>
      <c r="AF1" s="3450"/>
      <c r="AG1" s="3450"/>
      <c r="AH1" s="3450"/>
    </row>
    <row r="2" spans="1:34" s="2756" customFormat="1" ht="14.25" thickBot="1">
      <c r="B2" s="2764" t="s">
        <v>2578</v>
      </c>
      <c r="C2" s="2764" t="s">
        <v>2639</v>
      </c>
      <c r="D2" s="2757" t="s">
        <v>1641</v>
      </c>
      <c r="E2" s="2757" t="s">
        <v>1948</v>
      </c>
      <c r="F2" s="2764" t="s">
        <v>2640</v>
      </c>
      <c r="G2" s="2760"/>
      <c r="H2" s="2759"/>
      <c r="I2" s="2764" t="s">
        <v>2948</v>
      </c>
      <c r="J2" s="2757" t="s">
        <v>2950</v>
      </c>
      <c r="K2" s="2757" t="s">
        <v>2951</v>
      </c>
      <c r="L2" s="2764" t="s">
        <v>2952</v>
      </c>
      <c r="N2" s="2764" t="s">
        <v>2578</v>
      </c>
      <c r="O2" s="2757" t="s">
        <v>2949</v>
      </c>
      <c r="P2" s="2757" t="s">
        <v>1948</v>
      </c>
      <c r="Q2" s="2764" t="s">
        <v>2640</v>
      </c>
      <c r="R2" s="2758"/>
      <c r="S2" s="2764" t="s">
        <v>2578</v>
      </c>
      <c r="T2" s="2757" t="s">
        <v>2949</v>
      </c>
      <c r="U2" s="2757" t="s">
        <v>1948</v>
      </c>
      <c r="V2" s="2764" t="s">
        <v>2640</v>
      </c>
      <c r="X2" s="2764" t="s">
        <v>2578</v>
      </c>
      <c r="Y2" s="2764" t="s">
        <v>2639</v>
      </c>
      <c r="Z2" s="2757" t="s">
        <v>1641</v>
      </c>
      <c r="AA2" s="2757" t="s">
        <v>1948</v>
      </c>
      <c r="AB2" s="2764" t="s">
        <v>2640</v>
      </c>
      <c r="AD2" s="2764" t="s">
        <v>2578</v>
      </c>
      <c r="AE2" s="2764" t="s">
        <v>2639</v>
      </c>
      <c r="AF2" s="2757" t="s">
        <v>1641</v>
      </c>
      <c r="AG2" s="2757" t="s">
        <v>1948</v>
      </c>
      <c r="AH2" s="2764" t="s">
        <v>2640</v>
      </c>
    </row>
    <row r="3" spans="1:34" s="3131" customFormat="1" ht="14.25">
      <c r="A3" s="3143" t="s">
        <v>2961</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2974</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2962</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2972</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2973</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2968</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2959</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2963</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967</v>
      </c>
      <c r="B13" s="2661">
        <v>392</v>
      </c>
      <c r="C13" s="2661">
        <v>302</v>
      </c>
      <c r="D13" s="2661">
        <f t="shared" si="33"/>
        <v>302</v>
      </c>
      <c r="E13" s="2661">
        <v>553</v>
      </c>
      <c r="F13" s="2662">
        <v>266</v>
      </c>
      <c r="G13" s="345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966</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53"/>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956</v>
      </c>
      <c r="B15" s="2669">
        <f t="shared" si="54"/>
        <v>360.06949782209392</v>
      </c>
      <c r="C15" s="2669">
        <f t="shared" si="54"/>
        <v>289.84672674747821</v>
      </c>
      <c r="D15" s="2669">
        <f t="shared" si="55"/>
        <v>289.84672674747821</v>
      </c>
      <c r="E15" s="2669">
        <f t="shared" si="56"/>
        <v>501.06543001181495</v>
      </c>
      <c r="F15" s="2669">
        <f t="shared" si="56"/>
        <v>256.82882500744967</v>
      </c>
      <c r="G15" s="3453"/>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965</v>
      </c>
      <c r="B16" s="2669">
        <f t="shared" si="54"/>
        <v>346.720748986128</v>
      </c>
      <c r="C16" s="2669">
        <f t="shared" si="54"/>
        <v>284.30282172386285</v>
      </c>
      <c r="D16" s="2669">
        <f t="shared" si="55"/>
        <v>284.30282172386285</v>
      </c>
      <c r="E16" s="2669">
        <f t="shared" si="56"/>
        <v>479.58023546306947</v>
      </c>
      <c r="F16" s="2669">
        <f t="shared" si="56"/>
        <v>253.25788877571213</v>
      </c>
      <c r="G16" s="3454"/>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964</v>
      </c>
      <c r="B17" s="2661">
        <v>333</v>
      </c>
      <c r="C17" s="2661">
        <v>277</v>
      </c>
      <c r="D17" s="2661">
        <f t="shared" si="55"/>
        <v>277</v>
      </c>
      <c r="E17" s="2661">
        <v>459</v>
      </c>
      <c r="F17" s="2662">
        <v>249</v>
      </c>
      <c r="G17" s="3452">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963</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53"/>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962</v>
      </c>
      <c r="B19" s="2669">
        <f t="shared" si="58"/>
        <v>322.34053690220776</v>
      </c>
      <c r="C19" s="2669">
        <f t="shared" si="58"/>
        <v>271.46160770422546</v>
      </c>
      <c r="D19" s="2669">
        <f t="shared" si="55"/>
        <v>271.46160770422546</v>
      </c>
      <c r="E19" s="2669">
        <f t="shared" si="59"/>
        <v>442.69434542172456</v>
      </c>
      <c r="F19" s="2669">
        <f t="shared" si="59"/>
        <v>241.34030753190925</v>
      </c>
      <c r="G19" s="3453"/>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961</v>
      </c>
      <c r="B20" s="2669">
        <f t="shared" si="58"/>
        <v>319.87748030386797</v>
      </c>
      <c r="C20" s="2669">
        <f t="shared" si="58"/>
        <v>269.60135833173649</v>
      </c>
      <c r="D20" s="2669">
        <f t="shared" si="55"/>
        <v>269.60135833173649</v>
      </c>
      <c r="E20" s="2669">
        <f t="shared" si="59"/>
        <v>439.18089823583784</v>
      </c>
      <c r="F20" s="2669">
        <f t="shared" si="59"/>
        <v>239.23503918706311</v>
      </c>
      <c r="G20" s="3454"/>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960</v>
      </c>
      <c r="B21" s="2683">
        <v>318</v>
      </c>
      <c r="C21" s="2683">
        <v>268</v>
      </c>
      <c r="D21" s="2683">
        <f t="shared" si="55"/>
        <v>268</v>
      </c>
      <c r="E21" s="2683">
        <v>437</v>
      </c>
      <c r="F21" s="2684">
        <v>237</v>
      </c>
      <c r="G21" s="3452">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959</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53"/>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958</v>
      </c>
      <c r="B23" s="2669">
        <f t="shared" si="60"/>
        <v>314.72141172386546</v>
      </c>
      <c r="C23" s="2669">
        <f t="shared" si="60"/>
        <v>263.03901319069001</v>
      </c>
      <c r="D23" s="2669">
        <f t="shared" si="55"/>
        <v>263.03901319069001</v>
      </c>
      <c r="E23" s="2669">
        <f t="shared" si="61"/>
        <v>433.65745506782821</v>
      </c>
      <c r="F23" s="2669">
        <f t="shared" si="61"/>
        <v>233.23005080045735</v>
      </c>
      <c r="G23" s="3453"/>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957</v>
      </c>
      <c r="B24" s="2688">
        <f t="shared" si="60"/>
        <v>307.34512863658733</v>
      </c>
      <c r="C24" s="2688">
        <f t="shared" si="60"/>
        <v>257.80556031626975</v>
      </c>
      <c r="D24" s="2688">
        <f t="shared" si="55"/>
        <v>257.80556031626975</v>
      </c>
      <c r="E24" s="2688">
        <f t="shared" si="61"/>
        <v>422.70928459677179</v>
      </c>
      <c r="F24" s="2688">
        <f t="shared" si="61"/>
        <v>229.73803270336617</v>
      </c>
      <c r="G24" s="3454"/>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55">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56"/>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56"/>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57"/>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52">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53"/>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53"/>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54"/>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52">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53">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53">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54">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52">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53">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53">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54">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52">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53">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53">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54">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52">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53">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53">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54">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52">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53">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53">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54">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52">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53">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53">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54">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52">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53">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53">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54">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52">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53">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53">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54">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52">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53">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53">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54">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52">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53">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53">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54">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G76"/>
  <sheetViews>
    <sheetView topLeftCell="B1" zoomScale="80" zoomScaleNormal="80" workbookViewId="0">
      <selection activeCell="F35" sqref="F35:F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3047</v>
      </c>
      <c r="D1" s="3122" t="s">
        <v>3125</v>
      </c>
      <c r="E1" s="2387" t="s">
        <v>866</v>
      </c>
      <c r="F1" s="2388">
        <f ca="1">J53</f>
        <v>37.35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0</v>
      </c>
      <c r="C2" s="2057"/>
      <c r="D2" s="2055"/>
      <c r="E2" s="2056"/>
      <c r="F2" s="2056"/>
      <c r="G2" s="1590"/>
      <c r="H2" s="2057"/>
      <c r="I2" s="2057"/>
      <c r="J2" s="2057"/>
      <c r="K2" s="2058"/>
      <c r="L2" s="2057"/>
      <c r="M2" s="2057"/>
    </row>
    <row r="3" spans="1:33" ht="18" customHeight="1" thickBot="1">
      <c r="A3" s="833" t="s">
        <v>515</v>
      </c>
      <c r="B3" s="834">
        <f ca="1">IF(ISERROR(B2*10000/F43),0,ROUND(B2*10000/F43,0))</f>
        <v>0</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0</v>
      </c>
      <c r="D5" s="2496" t="s">
        <v>2459</v>
      </c>
      <c r="E5" s="2490"/>
      <c r="F5" s="2491"/>
      <c r="G5" s="1592"/>
      <c r="H5" s="781">
        <v>1</v>
      </c>
      <c r="I5" s="782" t="s">
        <v>2456</v>
      </c>
      <c r="J5" s="55">
        <f ca="1">J6+J10+J12</f>
        <v>0</v>
      </c>
      <c r="K5" s="2496" t="s">
        <v>2459</v>
      </c>
      <c r="L5" s="2490"/>
      <c r="M5" s="2491"/>
    </row>
    <row r="6" spans="1:33" ht="18" customHeight="1">
      <c r="A6" s="1831" t="s">
        <v>1821</v>
      </c>
      <c r="B6" s="3443" t="s">
        <v>2461</v>
      </c>
      <c r="C6" s="783">
        <f ca="1">ROUND(F6*F8*F7*(1-F9)/10000,0)</f>
        <v>0</v>
      </c>
      <c r="D6" s="2497" t="s">
        <v>2460</v>
      </c>
      <c r="E6" s="784" t="s">
        <v>633</v>
      </c>
      <c r="F6" s="785">
        <f ca="1">INDIRECT("'数据-取费表'!u"&amp;$G$1)</f>
        <v>3.5</v>
      </c>
      <c r="G6" s="1592"/>
      <c r="H6" s="2504" t="s">
        <v>1821</v>
      </c>
      <c r="I6" s="3443" t="s">
        <v>2461</v>
      </c>
      <c r="J6" s="783">
        <f ca="1">ROUND(M6*M8*M7*(1-M9)/10000,0)</f>
        <v>0</v>
      </c>
      <c r="K6" s="341" t="s">
        <v>632</v>
      </c>
      <c r="L6" s="784" t="s">
        <v>633</v>
      </c>
      <c r="M6" s="785">
        <f ca="1">INDIRECT("'数据-取费表'!z"&amp;$G$1)</f>
        <v>0</v>
      </c>
    </row>
    <row r="7" spans="1:33" ht="18" customHeight="1">
      <c r="A7" s="2500"/>
      <c r="B7" s="3444"/>
      <c r="C7" s="788"/>
      <c r="D7" s="789"/>
      <c r="E7" s="784" t="s">
        <v>634</v>
      </c>
      <c r="F7" s="785">
        <f ca="1">IF(INDIRECT("'数据-取费表'!ah"&amp;$G$1)="",INDIRECT("'数据-取费表'!k"&amp;$G$1),INDIRECT("'数据-取费表'!ah"&amp;$G$1))</f>
        <v>0</v>
      </c>
      <c r="G7" s="1592"/>
      <c r="H7" s="2489"/>
      <c r="I7" s="3444"/>
      <c r="J7" s="788"/>
      <c r="K7" s="789"/>
      <c r="L7" s="784" t="s">
        <v>634</v>
      </c>
      <c r="M7" s="785">
        <f ca="1">F7</f>
        <v>0</v>
      </c>
    </row>
    <row r="8" spans="1:33" ht="18" customHeight="1">
      <c r="A8" s="2493"/>
      <c r="B8" s="3445"/>
      <c r="C8" s="788"/>
      <c r="D8" s="789"/>
      <c r="E8" s="784" t="s">
        <v>635</v>
      </c>
      <c r="F8" s="785">
        <f ca="1">INDIRECT("'数据-取费表'!ai"&amp;$G$1)</f>
        <v>365</v>
      </c>
      <c r="G8" s="1592"/>
      <c r="H8" s="2489"/>
      <c r="I8" s="3445"/>
      <c r="J8" s="788"/>
      <c r="K8" s="789"/>
      <c r="L8" s="784" t="s">
        <v>635</v>
      </c>
      <c r="M8" s="785">
        <f ca="1">INDIRECT("'数据-取费表'!ai"&amp;$G$1)</f>
        <v>365</v>
      </c>
    </row>
    <row r="9" spans="1:33" ht="18" customHeight="1">
      <c r="A9" s="786"/>
      <c r="B9" s="3446"/>
      <c r="C9" s="788"/>
      <c r="D9" s="789"/>
      <c r="E9" s="784" t="s">
        <v>636</v>
      </c>
      <c r="F9" s="794">
        <f ca="1">INDIRECT("'数据-取费表'!w"&amp;$G$1)</f>
        <v>0.05</v>
      </c>
      <c r="G9" s="1592"/>
      <c r="H9" s="2505"/>
      <c r="I9" s="3445"/>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2966</v>
      </c>
      <c r="E10" s="2498" t="s">
        <v>2462</v>
      </c>
      <c r="F10" s="2621" t="s">
        <v>3124</v>
      </c>
      <c r="G10" s="1592"/>
      <c r="H10" s="2561" t="s">
        <v>1822</v>
      </c>
      <c r="I10" s="2566" t="s">
        <v>2457</v>
      </c>
      <c r="J10" s="783">
        <f ca="1">ROUND(IF(M10="押一",J6/12*M11,IF(M10="押二",J6/12*2*M11,IF(M10="押三",J6/12*3*M11,J11*M11))),0)</f>
        <v>0</v>
      </c>
      <c r="K10" s="2501" t="s">
        <v>2966</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0</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0</v>
      </c>
      <c r="D14" s="3176" t="s">
        <v>642</v>
      </c>
      <c r="E14" s="3177"/>
      <c r="F14" s="805"/>
      <c r="G14" s="1592"/>
      <c r="H14" s="1649" t="s">
        <v>1821</v>
      </c>
      <c r="I14" s="2231" t="s">
        <v>2822</v>
      </c>
      <c r="J14" s="53">
        <f ca="1">C29</f>
        <v>0</v>
      </c>
      <c r="K14" s="26"/>
      <c r="L14" s="801"/>
      <c r="M14" s="802"/>
    </row>
    <row r="15" spans="1:33" s="2064" customFormat="1" ht="18" customHeight="1" thickBot="1">
      <c r="A15" s="1648" t="s">
        <v>1829</v>
      </c>
      <c r="B15" s="784" t="s">
        <v>643</v>
      </c>
      <c r="C15" s="53">
        <f ca="1">ROUND(C14*F15,0)</f>
        <v>0</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0</v>
      </c>
      <c r="K16" s="1822" t="s">
        <v>648</v>
      </c>
      <c r="L16" s="3178"/>
      <c r="M16" s="2491"/>
    </row>
    <row r="17" spans="1:33" s="2064" customFormat="1" ht="18" customHeight="1">
      <c r="A17" s="1648" t="s">
        <v>1884</v>
      </c>
      <c r="B17" s="784" t="s">
        <v>649</v>
      </c>
      <c r="C17" s="53">
        <f ca="1">ROUND(F17*(F43+INDIRECT("'数据-取费表'!S"&amp;$G$1))/10000,0)</f>
        <v>0</v>
      </c>
      <c r="D17" s="784" t="s">
        <v>650</v>
      </c>
      <c r="E17" s="784" t="s">
        <v>651</v>
      </c>
      <c r="F17" s="56">
        <f>'数据-取费表'!B35</f>
        <v>200</v>
      </c>
      <c r="G17" s="1593"/>
      <c r="H17" s="1649" t="s">
        <v>1821</v>
      </c>
      <c r="I17" s="784" t="s">
        <v>652</v>
      </c>
      <c r="J17" s="53">
        <f ca="1">ROUND(IF(项目基本情况!B11="自然人",J5*M17,J18+J19+J20),0)</f>
        <v>0</v>
      </c>
      <c r="K17" s="3176" t="s">
        <v>653</v>
      </c>
      <c r="L17" s="3175"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0</v>
      </c>
      <c r="D18" s="784" t="s">
        <v>644</v>
      </c>
      <c r="E18" s="784" t="s">
        <v>645</v>
      </c>
      <c r="F18" s="809">
        <f>'数据-取费表'!B36</f>
        <v>1.4999999999999999E-2</v>
      </c>
      <c r="G18" s="1593"/>
      <c r="H18" s="1648" t="s">
        <v>1828</v>
      </c>
      <c r="I18" s="784" t="s">
        <v>656</v>
      </c>
      <c r="J18" s="53">
        <f ca="1">ROUND(J5*M18/1.05,1)</f>
        <v>0</v>
      </c>
      <c r="K18" s="3175"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0</v>
      </c>
      <c r="D19" s="261" t="s">
        <v>659</v>
      </c>
      <c r="E19" s="3180"/>
      <c r="F19" s="56"/>
      <c r="G19" s="1592"/>
      <c r="H19" s="1648" t="s">
        <v>1829</v>
      </c>
      <c r="I19" s="784" t="s">
        <v>660</v>
      </c>
      <c r="J19" s="53">
        <f ca="1">IF(K19="按租金收入计税",ROUND(J5*M19,1),ROUND(C29*F33*0.7,1))</f>
        <v>0</v>
      </c>
      <c r="K19" s="811" t="s">
        <v>661</v>
      </c>
      <c r="L19" s="784" t="s">
        <v>645</v>
      </c>
      <c r="M19" s="809">
        <f>IF(K19="按租金收入计税",'数据-取费表'!B51,'数据-取费表'!B50)</f>
        <v>1.2E-2</v>
      </c>
    </row>
    <row r="20" spans="1:33" s="2064" customFormat="1" ht="18" customHeight="1">
      <c r="A20" s="1649" t="s">
        <v>1886</v>
      </c>
      <c r="B20" s="784" t="s">
        <v>662</v>
      </c>
      <c r="C20" s="53">
        <f ca="1">ROUND(C19*F20,0)</f>
        <v>0</v>
      </c>
      <c r="D20" s="812" t="s">
        <v>663</v>
      </c>
      <c r="E20" s="784" t="s">
        <v>645</v>
      </c>
      <c r="F20" s="809">
        <f>'数据-取费表'!B37</f>
        <v>0.01</v>
      </c>
      <c r="G20" s="1593"/>
      <c r="H20" s="1651" t="s">
        <v>1830</v>
      </c>
      <c r="I20" s="341" t="s">
        <v>664</v>
      </c>
      <c r="J20" s="54">
        <f ca="1">ROUND(M20*M21/10000,0)</f>
        <v>0</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0"/>
      <c r="F22" s="56"/>
      <c r="G22" s="1592"/>
      <c r="H22" s="1649" t="s">
        <v>1886</v>
      </c>
      <c r="I22" s="784" t="s">
        <v>672</v>
      </c>
      <c r="J22" s="53">
        <f ca="1">ROUND(J14*M22,0)</f>
        <v>0</v>
      </c>
      <c r="K22" s="3175"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0</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5"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0"/>
      <c r="F25" s="56"/>
      <c r="G25" s="1592"/>
      <c r="H25" s="1830" t="s">
        <v>1773</v>
      </c>
      <c r="I25" s="3010" t="s">
        <v>2819</v>
      </c>
      <c r="J25" s="792">
        <f ca="1">J5-J16</f>
        <v>0</v>
      </c>
      <c r="K25" s="2548" t="s">
        <v>696</v>
      </c>
      <c r="L25" s="2549"/>
      <c r="M25" s="2550"/>
    </row>
    <row r="26" spans="1:33" ht="18" customHeight="1">
      <c r="A26" s="1648" t="s">
        <v>1828</v>
      </c>
      <c r="B26" s="784" t="s">
        <v>2436</v>
      </c>
      <c r="C26" s="53">
        <f ca="1">ROUND((C19+C20)*F26,0)</f>
        <v>0</v>
      </c>
      <c r="D26" s="812" t="s">
        <v>697</v>
      </c>
      <c r="E26" s="795" t="s">
        <v>698</v>
      </c>
      <c r="F26" s="794">
        <f ca="1">INDIRECT("'数据-取费表'!q"&amp;$G$1)</f>
        <v>0.15</v>
      </c>
      <c r="G26" s="1592"/>
      <c r="H26" s="2502" t="s">
        <v>1777</v>
      </c>
      <c r="I26" s="2232" t="s">
        <v>2824</v>
      </c>
      <c r="J26" s="783">
        <f ca="1">IF(J5&lt;&gt;0,ROUND(J25*(1-((1+M28)/(1+M26))^M27)/(M26-M28),0),0)</f>
        <v>0</v>
      </c>
      <c r="K26" s="814" t="s">
        <v>700</v>
      </c>
      <c r="L26" s="784" t="s">
        <v>2417</v>
      </c>
      <c r="M26" s="794">
        <f ca="1">INDIRECT("'数据-取费表'!I"&amp;$G$1)</f>
        <v>5.5E-2</v>
      </c>
    </row>
    <row r="27" spans="1:33" ht="18" customHeight="1">
      <c r="A27" s="1648" t="s">
        <v>1829</v>
      </c>
      <c r="B27" s="784" t="s">
        <v>682</v>
      </c>
      <c r="C27" s="53">
        <f ca="1">ROUND(F21*F26,4)</f>
        <v>1.5E-3</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0</v>
      </c>
      <c r="D29" s="2545"/>
      <c r="E29" s="2546"/>
      <c r="F29" s="2547"/>
      <c r="G29" s="1593"/>
      <c r="H29" s="823" t="s">
        <v>1784</v>
      </c>
      <c r="I29" s="824" t="s">
        <v>1785</v>
      </c>
      <c r="J29" s="825">
        <f ca="1">ROUND(J26/(1+F40)^F41,0)</f>
        <v>0</v>
      </c>
      <c r="K29" s="826" t="s">
        <v>684</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0</v>
      </c>
      <c r="D30" s="1822" t="s">
        <v>648</v>
      </c>
      <c r="E30" s="3178"/>
      <c r="F30" s="2491"/>
      <c r="G30" s="2062"/>
      <c r="H30" s="2065"/>
      <c r="I30" s="2066"/>
      <c r="J30" s="2067"/>
      <c r="K30" s="2068"/>
      <c r="L30" s="2069"/>
      <c r="M30" s="2070"/>
    </row>
    <row r="31" spans="1:33" ht="18" customHeight="1">
      <c r="A31" s="1649" t="s">
        <v>1821</v>
      </c>
      <c r="B31" s="784" t="s">
        <v>652</v>
      </c>
      <c r="C31" s="53">
        <f ca="1">ROUND(IF(项目基本情况!B11="自然人",C5*F31,C32+C33+C34),1)</f>
        <v>0</v>
      </c>
      <c r="D31" s="3176" t="s">
        <v>653</v>
      </c>
      <c r="E31" s="3175"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0</v>
      </c>
      <c r="D32" s="3175"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0</v>
      </c>
      <c r="D33" s="811" t="s">
        <v>3123</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0</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0</v>
      </c>
      <c r="G35" s="2062"/>
      <c r="H35" s="2065"/>
      <c r="I35" s="837" t="s">
        <v>1811</v>
      </c>
      <c r="J35" s="838">
        <f ca="1">ROUND(C13*J36,0)</f>
        <v>0</v>
      </c>
      <c r="K35" s="2078"/>
      <c r="L35" s="2077"/>
      <c r="M35" s="2077"/>
    </row>
    <row r="36" spans="1:18" ht="18" customHeight="1">
      <c r="A36" s="1649" t="s">
        <v>1886</v>
      </c>
      <c r="B36" s="784" t="s">
        <v>672</v>
      </c>
      <c r="C36" s="53">
        <f ca="1">ROUND(C29*F36,1)</f>
        <v>0</v>
      </c>
      <c r="D36" s="3175"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0</v>
      </c>
      <c r="D37" s="3175"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0</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0</v>
      </c>
      <c r="D39" s="2548" t="s">
        <v>696</v>
      </c>
      <c r="E39" s="2549"/>
      <c r="F39" s="2550"/>
      <c r="G39" s="2062"/>
      <c r="H39" s="2077"/>
      <c r="I39" s="837" t="s">
        <v>1815</v>
      </c>
      <c r="J39" s="845" t="e">
        <f ca="1">ROUND(J35/C39,3)</f>
        <v>#DIV/0!</v>
      </c>
      <c r="K39" s="2083"/>
      <c r="L39" s="2077"/>
      <c r="M39" s="2077"/>
    </row>
    <row r="40" spans="1:18" ht="18" customHeight="1">
      <c r="A40" s="781" t="s">
        <v>1777</v>
      </c>
      <c r="B40" s="2232" t="s">
        <v>2299</v>
      </c>
      <c r="C40" s="783">
        <f ca="1">ROUND(C39*(1-((1+F42)/(1+F40))^F41)/(F40-F42),0)</f>
        <v>0</v>
      </c>
      <c r="D40" s="814" t="s">
        <v>700</v>
      </c>
      <c r="E40" s="784" t="s">
        <v>2417</v>
      </c>
      <c r="F40" s="794">
        <f ca="1">INDIRECT("'数据-取费表'!I"&amp;$G$1)</f>
        <v>5.5E-2</v>
      </c>
      <c r="G40" s="2062"/>
      <c r="H40" s="2062"/>
      <c r="I40" s="837" t="s">
        <v>1816</v>
      </c>
      <c r="J40" s="845" t="e">
        <f ca="1">1-J39</f>
        <v>#DIV/0!</v>
      </c>
      <c r="K40" s="2083"/>
      <c r="L40" s="2062"/>
      <c r="M40" s="2062"/>
    </row>
    <row r="41" spans="1:18" ht="18" customHeight="1">
      <c r="A41" s="786"/>
      <c r="B41" s="787"/>
      <c r="C41" s="788"/>
      <c r="D41" s="821" t="s">
        <v>1805</v>
      </c>
      <c r="E41" s="784" t="s">
        <v>704</v>
      </c>
      <c r="F41" s="822">
        <f ca="1">IF(INDIRECT("'数据-取费表'!af"&amp;$G$1)=0,INDIRECT("'数据-取费表'!ae"&amp;$G$1),INDIRECT("'数据-取费表'!af"&amp;$G$1))</f>
        <v>37.35</v>
      </c>
      <c r="G41" s="2062"/>
      <c r="H41" s="1988"/>
      <c r="I41" s="843" t="s">
        <v>1817</v>
      </c>
      <c r="J41" s="846"/>
      <c r="K41" s="2082"/>
      <c r="L41" s="1988"/>
      <c r="M41" s="1988"/>
    </row>
    <row r="42" spans="1:18" ht="18" customHeight="1">
      <c r="A42" s="790"/>
      <c r="B42" s="791"/>
      <c r="C42" s="792"/>
      <c r="D42" s="816"/>
      <c r="E42" s="784" t="s">
        <v>706</v>
      </c>
      <c r="F42" s="794">
        <f ca="1">INDIRECT("'数据-取费表'!v"&amp;$G$1)</f>
        <v>0</v>
      </c>
      <c r="G42" s="2062"/>
      <c r="H42" s="1988"/>
      <c r="I42" s="847" t="s">
        <v>1818</v>
      </c>
      <c r="J42" s="845" t="e">
        <f ca="1">ROUND(C13/C40,3)</f>
        <v>#DIV/0!</v>
      </c>
      <c r="K42" s="2082"/>
      <c r="L42" s="1988"/>
      <c r="M42" s="1988"/>
    </row>
    <row r="43" spans="1:18" ht="18" customHeight="1" thickBot="1">
      <c r="A43" s="823" t="s">
        <v>1784</v>
      </c>
      <c r="B43" s="824" t="s">
        <v>1807</v>
      </c>
      <c r="C43" s="825" t="e">
        <f ca="1">ROUND(C40*10000/F43,0)</f>
        <v>#DIV/0!</v>
      </c>
      <c r="D43" s="826" t="s">
        <v>1808</v>
      </c>
      <c r="E43" s="827" t="s">
        <v>1809</v>
      </c>
      <c r="F43" s="828">
        <f ca="1">INDIRECT("'数据-取费表'!k"&amp;$G$1)</f>
        <v>0</v>
      </c>
      <c r="G43" s="2062"/>
      <c r="H43" s="1988"/>
      <c r="I43" s="847" t="s">
        <v>1819</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0</v>
      </c>
      <c r="D46" s="2085"/>
      <c r="E46" s="2085"/>
      <c r="F46" s="2085"/>
      <c r="I46" s="2378" t="s">
        <v>2341</v>
      </c>
      <c r="J46" s="2379"/>
      <c r="K46" s="2380"/>
      <c r="L46" s="3157">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7" t="s">
        <v>2342</v>
      </c>
      <c r="J47" s="2381" t="s">
        <v>3122</v>
      </c>
      <c r="K47" s="3154" t="s">
        <v>2347</v>
      </c>
      <c r="L47" s="3158">
        <f ca="1">INDIRECT("'数据-取费表'!d"&amp;$G$1)</f>
        <v>40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3" t="s">
        <v>2343</v>
      </c>
      <c r="J48" s="2382" t="s">
        <v>2348</v>
      </c>
      <c r="K48" s="3155" t="s">
        <v>2349</v>
      </c>
      <c r="L48" s="1908">
        <f ca="1">INDIRECT("'数据-取费表'!f"&amp;$G$1)</f>
        <v>39.35</v>
      </c>
      <c r="O48" s="2398" t="s">
        <v>2377</v>
      </c>
      <c r="P48" s="2399" t="s">
        <v>2403</v>
      </c>
      <c r="Q48" s="2400">
        <f ca="1">C40+J29</f>
        <v>0</v>
      </c>
      <c r="R48" s="2399" t="s">
        <v>2378</v>
      </c>
    </row>
    <row r="49" spans="1:18" s="2059" customFormat="1" ht="18" customHeight="1" thickBot="1">
      <c r="A49" s="786"/>
      <c r="B49" s="787"/>
      <c r="C49" s="788"/>
      <c r="D49" s="789"/>
      <c r="E49" s="784" t="s">
        <v>634</v>
      </c>
      <c r="F49" s="785">
        <f ca="1">F7</f>
        <v>0</v>
      </c>
      <c r="G49" s="2090"/>
      <c r="H49" s="2093"/>
      <c r="I49" s="3123" t="s">
        <v>2344</v>
      </c>
      <c r="J49" s="2383"/>
      <c r="K49" s="3156"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3" t="s">
        <v>2345</v>
      </c>
      <c r="J50" s="3151">
        <f>SUMPRODUCT((I63:I65=J47)*(J62:L62=J48)*(J63:L65))</f>
        <v>60</v>
      </c>
      <c r="K50" s="3156" t="s">
        <v>2351</v>
      </c>
      <c r="L50" s="2384"/>
      <c r="O50" s="2401" t="s">
        <v>2381</v>
      </c>
      <c r="P50" s="2399" t="s">
        <v>2405</v>
      </c>
      <c r="Q50" s="2400">
        <f ca="1">C29</f>
        <v>0</v>
      </c>
      <c r="R50" s="2399" t="s">
        <v>2378</v>
      </c>
    </row>
    <row r="51" spans="1:18" s="2059" customFormat="1" ht="18" customHeight="1" thickBot="1">
      <c r="A51" s="786"/>
      <c r="B51" s="787"/>
      <c r="C51" s="788"/>
      <c r="D51" s="789"/>
      <c r="E51" s="784" t="s">
        <v>636</v>
      </c>
      <c r="F51" s="2371"/>
      <c r="H51" s="2093"/>
      <c r="I51" s="3148" t="s">
        <v>2346</v>
      </c>
      <c r="J51" s="3152">
        <f>IF(J49="",J50,J49+J50-YEAR('数据-取费表'!B2))</f>
        <v>60</v>
      </c>
      <c r="K51" s="3123" t="s">
        <v>2352</v>
      </c>
      <c r="L51" s="3159">
        <f ca="1">ROUND(-PV(INDIRECT("'数据-取费表'!h"&amp;$G$1),L48,(C39-C13*J36),0),0)</f>
        <v>0</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2966</v>
      </c>
      <c r="E52" s="2498" t="s">
        <v>2462</v>
      </c>
      <c r="F52" s="2621"/>
      <c r="I52" s="3149" t="s">
        <v>2419</v>
      </c>
      <c r="J52" s="2385"/>
      <c r="K52" s="3149"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0" t="s">
        <v>2971</v>
      </c>
      <c r="J53" s="3153">
        <f ca="1">IF(M47="住宅",IF(D1="——",MAX(J51,L48),MAX(J51,L48-'数据-取费表'!B20)),IF(D1="——",MIN(J51,L48),MIN(J51,L48-'数据-取费表'!B20)))</f>
        <v>37.35</v>
      </c>
      <c r="K53" s="3459" t="s">
        <v>2958</v>
      </c>
      <c r="L53" s="3460"/>
      <c r="O53" s="2401" t="s">
        <v>2386</v>
      </c>
      <c r="P53" s="2399" t="s">
        <v>2387</v>
      </c>
      <c r="Q53" s="2400">
        <f ca="1">J53</f>
        <v>37.35</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0</v>
      </c>
      <c r="R54" s="2403" t="s">
        <v>2390</v>
      </c>
    </row>
    <row r="55" spans="1:18" s="2059" customFormat="1" ht="18" customHeight="1" thickTop="1" thickBot="1">
      <c r="A55" s="797">
        <v>2</v>
      </c>
      <c r="B55" s="798" t="s">
        <v>640</v>
      </c>
      <c r="C55" s="799">
        <f ca="1">C13</f>
        <v>0</v>
      </c>
      <c r="D55" s="795"/>
      <c r="E55" s="795"/>
      <c r="F55" s="800"/>
      <c r="I55" s="3162" t="s">
        <v>2353</v>
      </c>
      <c r="J55" s="3098" t="e">
        <f ca="1">ROUND(IF(J47="钢混",J57/J50,1-(1-2%)*(J50-J57)/J50),3)</f>
        <v>#VALUE!</v>
      </c>
      <c r="K55" s="3163" t="s">
        <v>2354</v>
      </c>
      <c r="L55" s="2386"/>
      <c r="O55" s="2404" t="s">
        <v>2409</v>
      </c>
      <c r="P55" s="1592"/>
      <c r="Q55" s="1604"/>
      <c r="R55" s="1592"/>
    </row>
    <row r="56" spans="1:18" s="2059" customFormat="1" ht="42.75" customHeight="1" thickBot="1">
      <c r="A56" s="1650"/>
      <c r="B56" s="2231" t="s">
        <v>2298</v>
      </c>
      <c r="C56" s="53">
        <f ca="1">C29</f>
        <v>0</v>
      </c>
      <c r="D56" s="3175"/>
      <c r="E56" s="784"/>
      <c r="F56" s="809"/>
      <c r="I56" s="3164" t="s">
        <v>2355</v>
      </c>
      <c r="J56" s="3174" t="s">
        <v>1675</v>
      </c>
      <c r="K56" s="3123"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0</v>
      </c>
      <c r="D57" s="26" t="s">
        <v>648</v>
      </c>
      <c r="E57" s="3180"/>
      <c r="F57" s="56"/>
      <c r="I57" s="3165" t="s">
        <v>2356</v>
      </c>
      <c r="J57" s="3166" t="str">
        <f ca="1">IF(OR(M47="住宅",J51&lt;L48,J56="是"),"——",J51-L48)</f>
        <v>——</v>
      </c>
      <c r="K57" s="3123" t="s">
        <v>2361</v>
      </c>
      <c r="L57" s="1908" t="str">
        <f ca="1">IF(L48&lt;J51,"——",IF(L55="比较法",L49,IF(L55="基准地价",L50,L51)))</f>
        <v>——</v>
      </c>
      <c r="O57" s="2398" t="s">
        <v>2377</v>
      </c>
      <c r="P57" s="2399" t="s">
        <v>2403</v>
      </c>
      <c r="Q57" s="2400">
        <f ca="1">C40+J29</f>
        <v>0</v>
      </c>
      <c r="R57" s="2399" t="s">
        <v>2378</v>
      </c>
    </row>
    <row r="58" spans="1:18" s="2059" customFormat="1" ht="28.5" customHeight="1" thickBot="1">
      <c r="A58" s="1649" t="s">
        <v>1821</v>
      </c>
      <c r="B58" s="784" t="s">
        <v>652</v>
      </c>
      <c r="C58" s="53">
        <f ca="1">ROUND(IF(项目基本情况!B11="自然人",C47*F58,C59+C60+C61),1)</f>
        <v>0</v>
      </c>
      <c r="D58" s="3176" t="s">
        <v>653</v>
      </c>
      <c r="E58" s="3175" t="s">
        <v>686</v>
      </c>
      <c r="F58" s="810" t="str">
        <f ca="1">IF(项目基本情况!B11="企业","",IF(INDIRECT("'数据-取费表'!c"&amp;$G$1)="住宅",5%,IF(F48*F49*F50/12/(1+'数据-取费表'!C42)&gt;20000,12%,7%)))</f>
        <v/>
      </c>
      <c r="I58" s="3165" t="s">
        <v>2357</v>
      </c>
      <c r="J58" s="3099" t="e">
        <f ca="1">IF(J55&lt;0.4,0.4,J55)</f>
        <v>#VALUE!</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5" t="s">
        <v>657</v>
      </c>
      <c r="E59" s="784" t="s">
        <v>645</v>
      </c>
      <c r="F59" s="809">
        <f t="shared" ref="F59:F65" si="0">F32</f>
        <v>5.5000000000000007E-2</v>
      </c>
      <c r="I59" s="3165" t="s">
        <v>2358</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5" t="str">
        <f>D33</f>
        <v>按租金收入计税</v>
      </c>
      <c r="E60" s="784" t="s">
        <v>645</v>
      </c>
      <c r="F60" s="809">
        <f t="shared" si="0"/>
        <v>0.12</v>
      </c>
      <c r="I60" s="3167" t="s">
        <v>2359</v>
      </c>
      <c r="J60" s="3168" t="str">
        <f ca="1">IF(OR(M47="住宅",J51&lt;L48,J56="是"),"0",ROUND(J59/(1+J52)^J53,0))</f>
        <v>0</v>
      </c>
      <c r="K60" s="3169" t="s">
        <v>2364</v>
      </c>
      <c r="L60" s="3168">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0</v>
      </c>
      <c r="I62" s="3170" t="s">
        <v>2365</v>
      </c>
      <c r="J62" s="3171" t="s">
        <v>2366</v>
      </c>
      <c r="K62" s="3171" t="s">
        <v>2367</v>
      </c>
      <c r="L62" s="3171" t="s">
        <v>2348</v>
      </c>
      <c r="M62" s="3172" t="s">
        <v>2934</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0</v>
      </c>
      <c r="D63" s="3175" t="s">
        <v>687</v>
      </c>
      <c r="E63" s="784" t="s">
        <v>645</v>
      </c>
      <c r="F63" s="817">
        <f t="shared" ca="1" si="0"/>
        <v>1.4999999999999999E-2</v>
      </c>
      <c r="I63" s="3170" t="s">
        <v>2368</v>
      </c>
      <c r="J63" s="3171">
        <v>70</v>
      </c>
      <c r="K63" s="3171">
        <v>50</v>
      </c>
      <c r="L63" s="3171">
        <v>80</v>
      </c>
      <c r="M63" s="3173">
        <v>0.02</v>
      </c>
      <c r="O63" s="2398" t="s">
        <v>2389</v>
      </c>
      <c r="P63" s="2399" t="s">
        <v>2406</v>
      </c>
      <c r="Q63" s="2400">
        <f ca="1">Q57+Q58</f>
        <v>0</v>
      </c>
      <c r="R63" s="2403" t="s">
        <v>2390</v>
      </c>
    </row>
    <row r="64" spans="1:18" s="2059" customFormat="1" ht="16.5" thickBot="1">
      <c r="A64" s="1649" t="s">
        <v>1887</v>
      </c>
      <c r="B64" s="784" t="s">
        <v>675</v>
      </c>
      <c r="C64" s="53">
        <f ca="1">ROUND(C55*F64,1)</f>
        <v>0</v>
      </c>
      <c r="D64" s="3175" t="s">
        <v>676</v>
      </c>
      <c r="E64" s="784" t="s">
        <v>645</v>
      </c>
      <c r="F64" s="818">
        <f t="shared" ca="1" si="0"/>
        <v>1.5E-3</v>
      </c>
      <c r="I64" s="3170" t="s">
        <v>2369</v>
      </c>
      <c r="J64" s="3171">
        <v>50</v>
      </c>
      <c r="K64" s="3171">
        <v>35</v>
      </c>
      <c r="L64" s="3171">
        <v>60</v>
      </c>
      <c r="M64" s="846">
        <v>0</v>
      </c>
      <c r="O64" s="2404" t="s">
        <v>2413</v>
      </c>
      <c r="P64" s="1592"/>
      <c r="Q64" s="1604"/>
      <c r="R64" s="1592"/>
    </row>
    <row r="65" spans="1:18" s="2059" customFormat="1" ht="15.75" thickBot="1">
      <c r="A65" s="1649" t="s">
        <v>1888</v>
      </c>
      <c r="B65" s="784" t="s">
        <v>662</v>
      </c>
      <c r="C65" s="53">
        <f ca="1">ROUND(C47*F65,1)</f>
        <v>0</v>
      </c>
      <c r="D65" s="3175" t="s">
        <v>679</v>
      </c>
      <c r="E65" s="784" t="s">
        <v>645</v>
      </c>
      <c r="F65" s="794">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7" t="s">
        <v>1773</v>
      </c>
      <c r="B66" s="3011" t="s">
        <v>2819</v>
      </c>
      <c r="C66" s="799">
        <f ca="1">C47-C57</f>
        <v>0</v>
      </c>
      <c r="D66" s="3176" t="s">
        <v>696</v>
      </c>
      <c r="E66" s="3179"/>
      <c r="F66" s="820"/>
      <c r="K66" s="2086"/>
      <c r="O66" s="2398" t="s">
        <v>2377</v>
      </c>
      <c r="P66" s="2399" t="s">
        <v>2403</v>
      </c>
      <c r="Q66" s="2400">
        <f ca="1">C40+J29</f>
        <v>0</v>
      </c>
      <c r="R66" s="2399" t="s">
        <v>2378</v>
      </c>
    </row>
    <row r="67" spans="1:18" s="2059" customFormat="1" ht="20.25" thickBot="1">
      <c r="A67" s="781" t="s">
        <v>1777</v>
      </c>
      <c r="B67" s="2232" t="s">
        <v>2299</v>
      </c>
      <c r="C67" s="783">
        <f ca="1">ROUND(C66*(1-((1+F69)/(1+F67))^F68)/(F67-F69),0)</f>
        <v>0</v>
      </c>
      <c r="D67" s="814" t="s">
        <v>700</v>
      </c>
      <c r="E67" s="784" t="s">
        <v>701</v>
      </c>
      <c r="F67" s="794">
        <f ca="1">F40</f>
        <v>5.5E-2</v>
      </c>
      <c r="K67" s="2086"/>
      <c r="O67" s="2398" t="s">
        <v>2379</v>
      </c>
      <c r="P67" s="2399" t="s">
        <v>2410</v>
      </c>
      <c r="Q67" s="2400">
        <f ca="1">L60</f>
        <v>0</v>
      </c>
      <c r="R67" s="2403" t="s">
        <v>2412</v>
      </c>
    </row>
    <row r="68" spans="1:18" ht="21.75" thickBot="1">
      <c r="A68" s="786"/>
      <c r="B68" s="787"/>
      <c r="C68" s="788"/>
      <c r="D68" s="821" t="s">
        <v>1805</v>
      </c>
      <c r="E68" s="784" t="s">
        <v>704</v>
      </c>
      <c r="F68" s="822">
        <f ca="1">F41</f>
        <v>37.35</v>
      </c>
      <c r="O68" s="2401" t="s">
        <v>2381</v>
      </c>
      <c r="P68" s="2399" t="s">
        <v>2411</v>
      </c>
      <c r="Q68" s="2405">
        <f ca="1">L51</f>
        <v>0</v>
      </c>
      <c r="R68" s="2406" t="s">
        <v>2414</v>
      </c>
    </row>
    <row r="69" spans="1:18" ht="20.25" thickBot="1">
      <c r="A69" s="790"/>
      <c r="B69" s="791"/>
      <c r="C69" s="792"/>
      <c r="D69" s="816"/>
      <c r="E69" s="784" t="s">
        <v>706</v>
      </c>
      <c r="F69" s="2371"/>
      <c r="O69" s="2401" t="s">
        <v>2382</v>
      </c>
      <c r="P69" s="2407" t="s">
        <v>2396</v>
      </c>
      <c r="Q69" s="2400">
        <f ca="1">ROUND(Q70-Q71*Q72,0)</f>
        <v>0</v>
      </c>
      <c r="R69" s="2403"/>
    </row>
    <row r="70" spans="1:18" ht="15.75" thickBot="1">
      <c r="A70" s="823" t="s">
        <v>1784</v>
      </c>
      <c r="B70" s="824" t="s">
        <v>1807</v>
      </c>
      <c r="C70" s="825" t="e">
        <f ca="1">ROUND(C67*10000/F70,0)</f>
        <v>#DIV/0!</v>
      </c>
      <c r="D70" s="826" t="s">
        <v>1808</v>
      </c>
      <c r="E70" s="827" t="s">
        <v>1809</v>
      </c>
      <c r="F70" s="828">
        <f ca="1">F43</f>
        <v>0</v>
      </c>
      <c r="O70" s="2401" t="s">
        <v>2397</v>
      </c>
      <c r="P70" s="2407" t="s">
        <v>2398</v>
      </c>
      <c r="Q70" s="2400">
        <f ca="1">C39</f>
        <v>0</v>
      </c>
      <c r="R70" s="2399" t="s">
        <v>2378</v>
      </c>
    </row>
    <row r="71" spans="1:18" ht="15.75" thickBot="1">
      <c r="O71" s="2401" t="s">
        <v>2399</v>
      </c>
      <c r="P71" s="2407" t="s">
        <v>2400</v>
      </c>
      <c r="Q71" s="2400">
        <f ca="1">C13</f>
        <v>0</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0</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G14" sqref="G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35</v>
      </c>
      <c r="D1" s="3122" t="s">
        <v>3125</v>
      </c>
      <c r="E1" s="2387" t="s">
        <v>866</v>
      </c>
      <c r="F1" s="2388">
        <f ca="1">J53</f>
        <v>47.36</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10125</v>
      </c>
      <c r="C2" s="2057"/>
      <c r="D2" s="2055"/>
      <c r="E2" s="2056"/>
      <c r="F2" s="2056"/>
      <c r="G2" s="1590"/>
      <c r="H2" s="2057"/>
      <c r="I2" s="2057"/>
      <c r="J2" s="2057"/>
      <c r="K2" s="2058"/>
      <c r="L2" s="2057"/>
      <c r="M2" s="2057"/>
    </row>
    <row r="3" spans="1:33" ht="18" customHeight="1" thickBot="1">
      <c r="A3" s="833" t="s">
        <v>515</v>
      </c>
      <c r="B3" s="834">
        <f ca="1">IF(ISERROR(B2*10000/F43),0,ROUND(B2*10000/F43,0))</f>
        <v>4235</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829</v>
      </c>
      <c r="D5" s="2496" t="s">
        <v>2459</v>
      </c>
      <c r="E5" s="2490"/>
      <c r="F5" s="2491"/>
      <c r="G5" s="1592"/>
      <c r="H5" s="781">
        <v>1</v>
      </c>
      <c r="I5" s="782" t="s">
        <v>2456</v>
      </c>
      <c r="J5" s="55">
        <f ca="1">J6+J10+J12</f>
        <v>0</v>
      </c>
      <c r="K5" s="2496" t="s">
        <v>2459</v>
      </c>
      <c r="L5" s="2490"/>
      <c r="M5" s="2491"/>
    </row>
    <row r="6" spans="1:33" ht="18" customHeight="1">
      <c r="A6" s="1831" t="s">
        <v>1821</v>
      </c>
      <c r="B6" s="3443" t="s">
        <v>2461</v>
      </c>
      <c r="C6" s="783">
        <f ca="1">ROUND(F6*F8*F7*(1-F9)/10000,0)</f>
        <v>829</v>
      </c>
      <c r="D6" s="2497" t="s">
        <v>2460</v>
      </c>
      <c r="E6" s="784" t="s">
        <v>633</v>
      </c>
      <c r="F6" s="785">
        <f ca="1">INDIRECT("'数据-取费表'!u"&amp;$G$1)</f>
        <v>1</v>
      </c>
      <c r="G6" s="1592"/>
      <c r="H6" s="2504" t="s">
        <v>1821</v>
      </c>
      <c r="I6" s="3443" t="s">
        <v>2461</v>
      </c>
      <c r="J6" s="783">
        <f ca="1">ROUND(M6*M8*M7*(1-M9)/10000,0)</f>
        <v>0</v>
      </c>
      <c r="K6" s="341" t="s">
        <v>632</v>
      </c>
      <c r="L6" s="784" t="s">
        <v>633</v>
      </c>
      <c r="M6" s="785">
        <f ca="1">INDIRECT("'数据-取费表'!z"&amp;$G$1)</f>
        <v>0</v>
      </c>
    </row>
    <row r="7" spans="1:33" ht="18" customHeight="1">
      <c r="A7" s="2500"/>
      <c r="B7" s="3444"/>
      <c r="C7" s="788"/>
      <c r="D7" s="789"/>
      <c r="E7" s="784" t="s">
        <v>634</v>
      </c>
      <c r="F7" s="785">
        <f ca="1">IF(INDIRECT("'数据-取费表'!ah"&amp;$G$1)="",INDIRECT("'数据-取费表'!k"&amp;$G$1),INDIRECT("'数据-取费表'!ah"&amp;$G$1))</f>
        <v>23909.5</v>
      </c>
      <c r="G7" s="1592"/>
      <c r="H7" s="2489"/>
      <c r="I7" s="3444"/>
      <c r="J7" s="788"/>
      <c r="K7" s="789"/>
      <c r="L7" s="784" t="s">
        <v>634</v>
      </c>
      <c r="M7" s="785">
        <f ca="1">F7</f>
        <v>23909.5</v>
      </c>
    </row>
    <row r="8" spans="1:33" ht="18" customHeight="1">
      <c r="A8" s="2493"/>
      <c r="B8" s="3445"/>
      <c r="C8" s="788"/>
      <c r="D8" s="789"/>
      <c r="E8" s="784" t="s">
        <v>635</v>
      </c>
      <c r="F8" s="785">
        <f ca="1">INDIRECT("'数据-取费表'!ai"&amp;$G$1)</f>
        <v>365</v>
      </c>
      <c r="G8" s="1592"/>
      <c r="H8" s="2489"/>
      <c r="I8" s="3445"/>
      <c r="J8" s="788"/>
      <c r="K8" s="789"/>
      <c r="L8" s="784" t="s">
        <v>635</v>
      </c>
      <c r="M8" s="785">
        <f ca="1">INDIRECT("'数据-取费表'!ai"&amp;$G$1)</f>
        <v>365</v>
      </c>
    </row>
    <row r="9" spans="1:33" ht="18" customHeight="1">
      <c r="A9" s="786"/>
      <c r="B9" s="3446"/>
      <c r="C9" s="788"/>
      <c r="D9" s="789"/>
      <c r="E9" s="784" t="s">
        <v>636</v>
      </c>
      <c r="F9" s="794">
        <f ca="1">INDIRECT("'数据-取费表'!w"&amp;$G$1)</f>
        <v>0.05</v>
      </c>
      <c r="G9" s="1592"/>
      <c r="H9" s="2505"/>
      <c r="I9" s="3445"/>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2966</v>
      </c>
      <c r="E10" s="2498" t="s">
        <v>2462</v>
      </c>
      <c r="F10" s="2621" t="s">
        <v>3138</v>
      </c>
      <c r="G10" s="1592"/>
      <c r="H10" s="2561" t="s">
        <v>1822</v>
      </c>
      <c r="I10" s="2566" t="s">
        <v>2457</v>
      </c>
      <c r="J10" s="783">
        <f ca="1">ROUND(IF(M10="押一",J6/12*M11,IF(M10="押二",J6/12*2*M11,IF(M10="押三",J6/12*3*M11,J11*M11))),0)</f>
        <v>0</v>
      </c>
      <c r="K10" s="2501" t="s">
        <v>2966</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6924</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5141</v>
      </c>
      <c r="D14" s="3176" t="s">
        <v>642</v>
      </c>
      <c r="E14" s="3177"/>
      <c r="F14" s="805"/>
      <c r="G14" s="1592"/>
      <c r="H14" s="1649" t="s">
        <v>1821</v>
      </c>
      <c r="I14" s="2231" t="s">
        <v>2822</v>
      </c>
      <c r="J14" s="53">
        <f ca="1">C29</f>
        <v>6924</v>
      </c>
      <c r="K14" s="26"/>
      <c r="L14" s="801"/>
      <c r="M14" s="802"/>
    </row>
    <row r="15" spans="1:33" s="2064" customFormat="1" ht="18" customHeight="1" thickBot="1">
      <c r="A15" s="1648" t="s">
        <v>1829</v>
      </c>
      <c r="B15" s="784" t="s">
        <v>643</v>
      </c>
      <c r="C15" s="53">
        <f ca="1">ROUND(C14*F15,0)</f>
        <v>154</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687</v>
      </c>
      <c r="K16" s="1822" t="s">
        <v>648</v>
      </c>
      <c r="L16" s="3178"/>
      <c r="M16" s="2491"/>
    </row>
    <row r="17" spans="1:33" s="2064" customFormat="1" ht="18" customHeight="1">
      <c r="A17" s="1648" t="s">
        <v>1884</v>
      </c>
      <c r="B17" s="784" t="s">
        <v>649</v>
      </c>
      <c r="C17" s="53">
        <f ca="1">ROUND(F17*(F43+INDIRECT("'数据-取费表'!S"&amp;$G$1))/10000,0)</f>
        <v>478</v>
      </c>
      <c r="D17" s="784" t="s">
        <v>650</v>
      </c>
      <c r="E17" s="784" t="s">
        <v>651</v>
      </c>
      <c r="F17" s="56">
        <f>'数据-取费表'!B35</f>
        <v>200</v>
      </c>
      <c r="G17" s="1593"/>
      <c r="H17" s="1649" t="s">
        <v>1821</v>
      </c>
      <c r="I17" s="784" t="s">
        <v>652</v>
      </c>
      <c r="J17" s="53">
        <f ca="1">ROUND(IF(项目基本情况!B11="自然人",J5*M17,J18+J19+J20),0)</f>
        <v>583</v>
      </c>
      <c r="K17" s="3176" t="s">
        <v>653</v>
      </c>
      <c r="L17" s="3175"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77</v>
      </c>
      <c r="D18" s="784" t="s">
        <v>644</v>
      </c>
      <c r="E18" s="784" t="s">
        <v>645</v>
      </c>
      <c r="F18" s="809">
        <f>'数据-取费表'!B36</f>
        <v>1.4999999999999999E-2</v>
      </c>
      <c r="G18" s="1593"/>
      <c r="H18" s="1648" t="s">
        <v>1828</v>
      </c>
      <c r="I18" s="784" t="s">
        <v>656</v>
      </c>
      <c r="J18" s="53">
        <f ca="1">ROUND(J5*M18/1.05,1)</f>
        <v>0</v>
      </c>
      <c r="K18" s="3175"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5850</v>
      </c>
      <c r="D19" s="261" t="s">
        <v>659</v>
      </c>
      <c r="E19" s="3180"/>
      <c r="F19" s="56"/>
      <c r="G19" s="1592"/>
      <c r="H19" s="1648" t="s">
        <v>1829</v>
      </c>
      <c r="I19" s="784" t="s">
        <v>660</v>
      </c>
      <c r="J19" s="53">
        <f ca="1">IF(K19="按租金收入计税",ROUND(J5*M19,1),ROUND(C29*F33*0.7,1))</f>
        <v>581.6</v>
      </c>
      <c r="K19" s="811" t="s">
        <v>661</v>
      </c>
      <c r="L19" s="784" t="s">
        <v>645</v>
      </c>
      <c r="M19" s="809">
        <f>IF(K19="按租金收入计税",'数据-取费表'!B51,'数据-取费表'!B50)</f>
        <v>1.2E-2</v>
      </c>
    </row>
    <row r="20" spans="1:33" s="2064" customFormat="1" ht="18" customHeight="1">
      <c r="A20" s="1649" t="s">
        <v>1886</v>
      </c>
      <c r="B20" s="784" t="s">
        <v>662</v>
      </c>
      <c r="C20" s="53">
        <f ca="1">ROUND(C19*F20,0)</f>
        <v>59</v>
      </c>
      <c r="D20" s="812" t="s">
        <v>663</v>
      </c>
      <c r="E20" s="784" t="s">
        <v>645</v>
      </c>
      <c r="F20" s="809">
        <f>'数据-取费表'!B37</f>
        <v>0.01</v>
      </c>
      <c r="G20" s="1593"/>
      <c r="H20" s="1651" t="s">
        <v>1830</v>
      </c>
      <c r="I20" s="341" t="s">
        <v>664</v>
      </c>
      <c r="J20" s="54">
        <f ca="1">ROUND(M20*M21/10000,0)</f>
        <v>1</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6473.96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0"/>
      <c r="F22" s="56"/>
      <c r="G22" s="1592"/>
      <c r="H22" s="1649" t="s">
        <v>1886</v>
      </c>
      <c r="I22" s="784" t="s">
        <v>672</v>
      </c>
      <c r="J22" s="53">
        <f ca="1">ROUND(J14*M22,0)</f>
        <v>104</v>
      </c>
      <c r="K22" s="3175"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281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5"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0"/>
      <c r="F25" s="56"/>
      <c r="G25" s="1592"/>
      <c r="H25" s="1830" t="s">
        <v>1773</v>
      </c>
      <c r="I25" s="3010" t="s">
        <v>2819</v>
      </c>
      <c r="J25" s="792">
        <f ca="1">J5-J16</f>
        <v>-687</v>
      </c>
      <c r="K25" s="2548" t="s">
        <v>696</v>
      </c>
      <c r="L25" s="2549"/>
      <c r="M25" s="2550"/>
    </row>
    <row r="26" spans="1:33" ht="18" customHeight="1">
      <c r="A26" s="1648" t="s">
        <v>1828</v>
      </c>
      <c r="B26" s="784" t="s">
        <v>2436</v>
      </c>
      <c r="C26" s="53">
        <f ca="1">ROUND((C19+C20)*F26,0)</f>
        <v>295</v>
      </c>
      <c r="D26" s="812" t="s">
        <v>697</v>
      </c>
      <c r="E26" s="795" t="s">
        <v>698</v>
      </c>
      <c r="F26" s="794">
        <f ca="1">INDIRECT("'数据-取费表'!q"&amp;$G$1)</f>
        <v>0.05</v>
      </c>
      <c r="G26" s="1592"/>
      <c r="H26" s="2502" t="s">
        <v>1777</v>
      </c>
      <c r="I26" s="2232" t="s">
        <v>2824</v>
      </c>
      <c r="J26" s="783">
        <f ca="1">IF(J5&lt;&gt;0,ROUND(J25*(1-((1+M28)/(1+M26))^M27)/(M26-M28),0),0)</f>
        <v>0</v>
      </c>
      <c r="K26" s="814" t="s">
        <v>700</v>
      </c>
      <c r="L26" s="784" t="s">
        <v>2417</v>
      </c>
      <c r="M26" s="794">
        <f ca="1">INDIRECT("'数据-取费表'!I"&amp;$G$1)</f>
        <v>0.05</v>
      </c>
    </row>
    <row r="27" spans="1:33" ht="18" customHeight="1">
      <c r="A27" s="1648" t="s">
        <v>1829</v>
      </c>
      <c r="B27" s="784" t="s">
        <v>682</v>
      </c>
      <c r="C27" s="53">
        <f ca="1">ROUND(F21*F26,4)</f>
        <v>5.0000000000000001E-4</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6924</v>
      </c>
      <c r="D29" s="2545"/>
      <c r="E29" s="2546"/>
      <c r="F29" s="2547"/>
      <c r="G29" s="1593"/>
      <c r="H29" s="823" t="s">
        <v>1784</v>
      </c>
      <c r="I29" s="824" t="s">
        <v>1785</v>
      </c>
      <c r="J29" s="825">
        <f ca="1">ROUND(J26/(1+F40)^F41,0)</f>
        <v>0</v>
      </c>
      <c r="K29" s="826" t="s">
        <v>684</v>
      </c>
      <c r="L29" s="827"/>
      <c r="M29" s="828">
        <f ca="1">INDIRECT("'数据-取费表'!k"&amp;$G$1)</f>
        <v>23909.5</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267</v>
      </c>
      <c r="D30" s="1822" t="s">
        <v>648</v>
      </c>
      <c r="E30" s="3178"/>
      <c r="F30" s="2491"/>
      <c r="G30" s="2062"/>
      <c r="H30" s="2065"/>
      <c r="I30" s="2066"/>
      <c r="J30" s="2067"/>
      <c r="K30" s="2068"/>
      <c r="L30" s="2069"/>
      <c r="M30" s="2070"/>
    </row>
    <row r="31" spans="1:33" ht="18" customHeight="1">
      <c r="A31" s="1649" t="s">
        <v>1821</v>
      </c>
      <c r="B31" s="784" t="s">
        <v>652</v>
      </c>
      <c r="C31" s="53">
        <f ca="1">ROUND(IF(项目基本情况!B11="自然人",C5*F31,C32+C33+C34),1)</f>
        <v>143.9</v>
      </c>
      <c r="D31" s="3176" t="s">
        <v>653</v>
      </c>
      <c r="E31" s="3175"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43.4</v>
      </c>
      <c r="D32" s="3175"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99.5</v>
      </c>
      <c r="D33" s="811" t="s">
        <v>3123</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6473.96</v>
      </c>
      <c r="G35" s="2062"/>
      <c r="H35" s="2065"/>
      <c r="I35" s="837" t="s">
        <v>1811</v>
      </c>
      <c r="J35" s="838">
        <f ca="1">ROUND(C13*J36,0)</f>
        <v>554</v>
      </c>
      <c r="K35" s="2078"/>
      <c r="L35" s="2077"/>
      <c r="M35" s="2077"/>
    </row>
    <row r="36" spans="1:18" ht="18" customHeight="1">
      <c r="A36" s="1649" t="s">
        <v>1886</v>
      </c>
      <c r="B36" s="784" t="s">
        <v>672</v>
      </c>
      <c r="C36" s="53">
        <f ca="1">ROUND(C29*F36,1)</f>
        <v>103.9</v>
      </c>
      <c r="D36" s="3175"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10.4</v>
      </c>
      <c r="D37" s="3175"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8.3000000000000007</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562</v>
      </c>
      <c r="D39" s="2548" t="s">
        <v>696</v>
      </c>
      <c r="E39" s="2549"/>
      <c r="F39" s="2550"/>
      <c r="G39" s="2062"/>
      <c r="H39" s="2077"/>
      <c r="I39" s="837" t="s">
        <v>1815</v>
      </c>
      <c r="J39" s="845">
        <f ca="1">ROUND(J35/C39,3)</f>
        <v>0.98599999999999999</v>
      </c>
      <c r="K39" s="2083"/>
      <c r="L39" s="2077"/>
      <c r="M39" s="2077"/>
    </row>
    <row r="40" spans="1:18" ht="18" customHeight="1">
      <c r="A40" s="781" t="s">
        <v>1777</v>
      </c>
      <c r="B40" s="2232" t="s">
        <v>2299</v>
      </c>
      <c r="C40" s="783">
        <f ca="1">ROUND(C39*(1-((1+F42)/(1+F40))^F41)/(F40-F42),0)</f>
        <v>10125</v>
      </c>
      <c r="D40" s="814" t="s">
        <v>700</v>
      </c>
      <c r="E40" s="784" t="s">
        <v>2417</v>
      </c>
      <c r="F40" s="794">
        <f ca="1">INDIRECT("'数据-取费表'!I"&amp;$G$1)</f>
        <v>0.05</v>
      </c>
      <c r="G40" s="2062"/>
      <c r="H40" s="2062"/>
      <c r="I40" s="837" t="s">
        <v>1816</v>
      </c>
      <c r="J40" s="845">
        <f ca="1">1-J39</f>
        <v>1.4000000000000012E-2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706</v>
      </c>
      <c r="F42" s="794">
        <f ca="1">INDIRECT("'数据-取费表'!v"&amp;$G$1)</f>
        <v>0</v>
      </c>
      <c r="G42" s="2062"/>
      <c r="H42" s="1988"/>
      <c r="I42" s="847" t="s">
        <v>1818</v>
      </c>
      <c r="J42" s="845">
        <f ca="1">ROUND(C13/C40,3)</f>
        <v>0.68400000000000005</v>
      </c>
      <c r="K42" s="2082"/>
      <c r="L42" s="1988"/>
      <c r="M42" s="1988"/>
    </row>
    <row r="43" spans="1:18" ht="18" customHeight="1" thickBot="1">
      <c r="A43" s="823" t="s">
        <v>1784</v>
      </c>
      <c r="B43" s="824" t="s">
        <v>1807</v>
      </c>
      <c r="C43" s="825">
        <f ca="1">ROUND(C40*10000/F43,0)</f>
        <v>4235</v>
      </c>
      <c r="D43" s="826" t="s">
        <v>1808</v>
      </c>
      <c r="E43" s="827" t="s">
        <v>1809</v>
      </c>
      <c r="F43" s="828">
        <f ca="1">INDIRECT("'数据-取费表'!k"&amp;$G$1)</f>
        <v>23909.5</v>
      </c>
      <c r="G43" s="2062"/>
      <c r="H43" s="1988"/>
      <c r="I43" s="847" t="s">
        <v>1819</v>
      </c>
      <c r="J43" s="848">
        <f ca="1">1-J42</f>
        <v>0.31599999999999995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-12197</v>
      </c>
      <c r="D46" s="2085"/>
      <c r="E46" s="2085"/>
      <c r="F46" s="2085"/>
      <c r="I46" s="2378" t="s">
        <v>2341</v>
      </c>
      <c r="J46" s="2379"/>
      <c r="K46" s="2380"/>
      <c r="L46" s="3157">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7" t="s">
        <v>2342</v>
      </c>
      <c r="J47" s="2381" t="s">
        <v>3122</v>
      </c>
      <c r="K47" s="3154" t="s">
        <v>2347</v>
      </c>
      <c r="L47" s="3158">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3" t="s">
        <v>2343</v>
      </c>
      <c r="J48" s="2382" t="s">
        <v>2348</v>
      </c>
      <c r="K48" s="3155" t="s">
        <v>2349</v>
      </c>
      <c r="L48" s="1908">
        <f ca="1">INDIRECT("'数据-取费表'!f"&amp;$G$1)</f>
        <v>49.36</v>
      </c>
      <c r="O48" s="2398" t="s">
        <v>2377</v>
      </c>
      <c r="P48" s="2399" t="s">
        <v>2403</v>
      </c>
      <c r="Q48" s="2400">
        <f ca="1">C40+J29</f>
        <v>10125</v>
      </c>
      <c r="R48" s="2399" t="s">
        <v>2378</v>
      </c>
    </row>
    <row r="49" spans="1:18" s="2059" customFormat="1" ht="18" customHeight="1" thickBot="1">
      <c r="A49" s="786"/>
      <c r="B49" s="787"/>
      <c r="C49" s="788"/>
      <c r="D49" s="789"/>
      <c r="E49" s="784" t="s">
        <v>634</v>
      </c>
      <c r="F49" s="785">
        <f ca="1">F7</f>
        <v>23909.5</v>
      </c>
      <c r="G49" s="2090"/>
      <c r="H49" s="2093"/>
      <c r="I49" s="3123" t="s">
        <v>2344</v>
      </c>
      <c r="J49" s="2383"/>
      <c r="K49" s="3156"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3" t="s">
        <v>2345</v>
      </c>
      <c r="J50" s="3151">
        <f>SUMPRODUCT((I63:I65=J47)*(J62:L62=J48)*(J63:L65))</f>
        <v>60</v>
      </c>
      <c r="K50" s="3156" t="s">
        <v>2351</v>
      </c>
      <c r="L50" s="2384"/>
      <c r="O50" s="2401" t="s">
        <v>2381</v>
      </c>
      <c r="P50" s="2399" t="s">
        <v>2405</v>
      </c>
      <c r="Q50" s="2400">
        <f ca="1">C29</f>
        <v>6924</v>
      </c>
      <c r="R50" s="2399" t="s">
        <v>2378</v>
      </c>
    </row>
    <row r="51" spans="1:18" s="2059" customFormat="1" ht="18" customHeight="1" thickBot="1">
      <c r="A51" s="786"/>
      <c r="B51" s="787"/>
      <c r="C51" s="788"/>
      <c r="D51" s="789"/>
      <c r="E51" s="784" t="s">
        <v>636</v>
      </c>
      <c r="F51" s="2371"/>
      <c r="H51" s="2093"/>
      <c r="I51" s="3148" t="s">
        <v>2346</v>
      </c>
      <c r="J51" s="3152">
        <f>IF(J49="",J50,J49+J50-YEAR('数据-取费表'!B2))</f>
        <v>60</v>
      </c>
      <c r="K51" s="3123" t="s">
        <v>2352</v>
      </c>
      <c r="L51" s="3159">
        <f ca="1">ROUND(-PV(INDIRECT("'数据-取费表'!h"&amp;$G$1),L48,(C39-C13*J36),0),0)</f>
        <v>159</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2966</v>
      </c>
      <c r="E52" s="2498" t="s">
        <v>2462</v>
      </c>
      <c r="F52" s="2621"/>
      <c r="I52" s="3149" t="s">
        <v>2419</v>
      </c>
      <c r="J52" s="2385"/>
      <c r="K52" s="3149"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0" t="s">
        <v>2971</v>
      </c>
      <c r="J53" s="3153">
        <f ca="1">IF(M47="住宅",IF(D1="——",MAX(J51,L48),MAX(J51,L48-'数据-取费表'!B20)),IF(D1="——",MIN(J51,L48),MIN(J51,L48-'数据-取费表'!B20)))</f>
        <v>47.36</v>
      </c>
      <c r="K53" s="3459" t="s">
        <v>2958</v>
      </c>
      <c r="L53" s="3460"/>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10125</v>
      </c>
      <c r="R54" s="2403" t="s">
        <v>2390</v>
      </c>
    </row>
    <row r="55" spans="1:18" s="2059" customFormat="1" ht="18" customHeight="1" thickTop="1" thickBot="1">
      <c r="A55" s="797">
        <v>2</v>
      </c>
      <c r="B55" s="798" t="s">
        <v>640</v>
      </c>
      <c r="C55" s="799">
        <f ca="1">C13</f>
        <v>6924</v>
      </c>
      <c r="D55" s="795"/>
      <c r="E55" s="795"/>
      <c r="F55" s="800"/>
      <c r="I55" s="3162" t="s">
        <v>2353</v>
      </c>
      <c r="J55" s="3098" t="e">
        <f ca="1">ROUND(IF(J47="钢混",J57/J50,1-(1-2%)*(J50-J57)/J50),3)</f>
        <v>#VALUE!</v>
      </c>
      <c r="K55" s="3163" t="s">
        <v>2354</v>
      </c>
      <c r="L55" s="2386"/>
      <c r="O55" s="2404" t="s">
        <v>2409</v>
      </c>
      <c r="P55" s="1592"/>
      <c r="Q55" s="1604"/>
      <c r="R55" s="1592"/>
    </row>
    <row r="56" spans="1:18" s="2059" customFormat="1" ht="42.75" customHeight="1" thickBot="1">
      <c r="A56" s="1650"/>
      <c r="B56" s="2231" t="s">
        <v>2298</v>
      </c>
      <c r="C56" s="53">
        <f ca="1">C29</f>
        <v>6924</v>
      </c>
      <c r="D56" s="3175"/>
      <c r="E56" s="784"/>
      <c r="F56" s="809"/>
      <c r="I56" s="3164" t="s">
        <v>2355</v>
      </c>
      <c r="J56" s="3174" t="s">
        <v>1675</v>
      </c>
      <c r="K56" s="3123"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115</v>
      </c>
      <c r="D57" s="26" t="s">
        <v>648</v>
      </c>
      <c r="E57" s="3180"/>
      <c r="F57" s="56"/>
      <c r="I57" s="3165" t="s">
        <v>2356</v>
      </c>
      <c r="J57" s="3166" t="str">
        <f ca="1">IF(OR(M47="住宅",J51&lt;L48,J56="是"),"——",J51-L48)</f>
        <v>——</v>
      </c>
      <c r="K57" s="3123" t="s">
        <v>2361</v>
      </c>
      <c r="L57" s="1908" t="str">
        <f ca="1">IF(L48&lt;J51,"——",IF(L55="比较法",L49,IF(L55="基准地价",L50,L51)))</f>
        <v>——</v>
      </c>
      <c r="O57" s="2398" t="s">
        <v>2377</v>
      </c>
      <c r="P57" s="2399" t="s">
        <v>2403</v>
      </c>
      <c r="Q57" s="2400">
        <f ca="1">C40+J29</f>
        <v>10125</v>
      </c>
      <c r="R57" s="2399" t="s">
        <v>2378</v>
      </c>
    </row>
    <row r="58" spans="1:18" s="2059" customFormat="1" ht="28.5" customHeight="1" thickBot="1">
      <c r="A58" s="1649" t="s">
        <v>1821</v>
      </c>
      <c r="B58" s="784" t="s">
        <v>652</v>
      </c>
      <c r="C58" s="53">
        <f ca="1">ROUND(IF(项目基本情况!B11="自然人",C47*F58,C59+C60+C61),1)</f>
        <v>1</v>
      </c>
      <c r="D58" s="3176" t="s">
        <v>653</v>
      </c>
      <c r="E58" s="3175" t="s">
        <v>686</v>
      </c>
      <c r="F58" s="810" t="str">
        <f ca="1">IF(项目基本情况!B11="企业","",IF(INDIRECT("'数据-取费表'!c"&amp;$G$1)="住宅",5%,IF(F48*F49*F50/12/(1+'数据-取费表'!C42)&gt;20000,12%,7%)))</f>
        <v/>
      </c>
      <c r="I58" s="3165" t="s">
        <v>2357</v>
      </c>
      <c r="J58" s="3099" t="e">
        <f ca="1">IF(J55&lt;0.4,0.4,J55)</f>
        <v>#VALUE!</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5" t="s">
        <v>657</v>
      </c>
      <c r="E59" s="784" t="s">
        <v>645</v>
      </c>
      <c r="F59" s="809">
        <f t="shared" ref="F59:F65" si="0">F32</f>
        <v>5.5000000000000007E-2</v>
      </c>
      <c r="I59" s="3165" t="s">
        <v>2358</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5" t="str">
        <f>D33</f>
        <v>按租金收入计税</v>
      </c>
      <c r="E60" s="784" t="s">
        <v>645</v>
      </c>
      <c r="F60" s="809">
        <f t="shared" si="0"/>
        <v>0.12</v>
      </c>
      <c r="I60" s="3167" t="s">
        <v>2359</v>
      </c>
      <c r="J60" s="3168" t="str">
        <f ca="1">IF(OR(M47="住宅",J51&lt;L48,J56="是"),"0",ROUND(J59/(1+J52)^J53,0))</f>
        <v>0</v>
      </c>
      <c r="K60" s="3169" t="s">
        <v>2364</v>
      </c>
      <c r="L60" s="3168">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6473.96</v>
      </c>
      <c r="I62" s="3170" t="s">
        <v>2365</v>
      </c>
      <c r="J62" s="3171" t="s">
        <v>2366</v>
      </c>
      <c r="K62" s="3171" t="s">
        <v>2367</v>
      </c>
      <c r="L62" s="3171" t="s">
        <v>2348</v>
      </c>
      <c r="M62" s="3172" t="s">
        <v>2934</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103.9</v>
      </c>
      <c r="D63" s="3175" t="s">
        <v>687</v>
      </c>
      <c r="E63" s="784" t="s">
        <v>645</v>
      </c>
      <c r="F63" s="817">
        <f t="shared" ca="1" si="0"/>
        <v>1.4999999999999999E-2</v>
      </c>
      <c r="I63" s="3170" t="s">
        <v>2368</v>
      </c>
      <c r="J63" s="3171">
        <v>70</v>
      </c>
      <c r="K63" s="3171">
        <v>50</v>
      </c>
      <c r="L63" s="3171">
        <v>80</v>
      </c>
      <c r="M63" s="3173">
        <v>0.02</v>
      </c>
      <c r="O63" s="2398" t="s">
        <v>2389</v>
      </c>
      <c r="P63" s="2399" t="s">
        <v>2406</v>
      </c>
      <c r="Q63" s="2400">
        <f ca="1">Q57+Q58</f>
        <v>10125</v>
      </c>
      <c r="R63" s="2403" t="s">
        <v>2390</v>
      </c>
    </row>
    <row r="64" spans="1:18" s="2059" customFormat="1" ht="16.5" thickBot="1">
      <c r="A64" s="1649" t="s">
        <v>1887</v>
      </c>
      <c r="B64" s="784" t="s">
        <v>675</v>
      </c>
      <c r="C64" s="53">
        <f ca="1">ROUND(C55*F64,1)</f>
        <v>10.4</v>
      </c>
      <c r="D64" s="3175" t="s">
        <v>676</v>
      </c>
      <c r="E64" s="784" t="s">
        <v>645</v>
      </c>
      <c r="F64" s="818">
        <f t="shared" ca="1" si="0"/>
        <v>1.5E-3</v>
      </c>
      <c r="I64" s="3170" t="s">
        <v>2369</v>
      </c>
      <c r="J64" s="3171">
        <v>50</v>
      </c>
      <c r="K64" s="3171">
        <v>35</v>
      </c>
      <c r="L64" s="3171">
        <v>60</v>
      </c>
      <c r="M64" s="846">
        <v>0</v>
      </c>
      <c r="O64" s="2404" t="s">
        <v>2413</v>
      </c>
      <c r="P64" s="1592"/>
      <c r="Q64" s="1604"/>
      <c r="R64" s="1592"/>
    </row>
    <row r="65" spans="1:18" s="2059" customFormat="1" ht="15.75" thickBot="1">
      <c r="A65" s="1649" t="s">
        <v>1888</v>
      </c>
      <c r="B65" s="784" t="s">
        <v>662</v>
      </c>
      <c r="C65" s="53">
        <f ca="1">ROUND(C47*F65,1)</f>
        <v>0</v>
      </c>
      <c r="D65" s="3175" t="s">
        <v>679</v>
      </c>
      <c r="E65" s="784" t="s">
        <v>645</v>
      </c>
      <c r="F65" s="794">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7" t="s">
        <v>1773</v>
      </c>
      <c r="B66" s="3011" t="s">
        <v>2819</v>
      </c>
      <c r="C66" s="799">
        <f ca="1">C47-C57</f>
        <v>-115</v>
      </c>
      <c r="D66" s="3176" t="s">
        <v>696</v>
      </c>
      <c r="E66" s="3179"/>
      <c r="F66" s="820"/>
      <c r="K66" s="2086"/>
      <c r="O66" s="2398" t="s">
        <v>2377</v>
      </c>
      <c r="P66" s="2399" t="s">
        <v>2403</v>
      </c>
      <c r="Q66" s="2400">
        <f ca="1">C40+J29</f>
        <v>10125</v>
      </c>
      <c r="R66" s="2399" t="s">
        <v>2378</v>
      </c>
    </row>
    <row r="67" spans="1:18" s="2059" customFormat="1" ht="20.25" thickBot="1">
      <c r="A67" s="781" t="s">
        <v>1777</v>
      </c>
      <c r="B67" s="2232" t="s">
        <v>2299</v>
      </c>
      <c r="C67" s="783">
        <f ca="1">ROUND(C66*(1-((1+F69)/(1+F67))^F68)/(F67-F69),0)</f>
        <v>-2072</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704</v>
      </c>
      <c r="F68" s="822">
        <f ca="1">F41</f>
        <v>47.36</v>
      </c>
      <c r="O68" s="2401" t="s">
        <v>2381</v>
      </c>
      <c r="P68" s="2399" t="s">
        <v>2411</v>
      </c>
      <c r="Q68" s="2405">
        <f ca="1">L51</f>
        <v>159</v>
      </c>
      <c r="R68" s="2406" t="s">
        <v>2414</v>
      </c>
    </row>
    <row r="69" spans="1:18" ht="20.25" thickBot="1">
      <c r="A69" s="790"/>
      <c r="B69" s="791"/>
      <c r="C69" s="792"/>
      <c r="D69" s="816"/>
      <c r="E69" s="784" t="s">
        <v>706</v>
      </c>
      <c r="F69" s="2371"/>
      <c r="O69" s="2401" t="s">
        <v>2382</v>
      </c>
      <c r="P69" s="2407" t="s">
        <v>2396</v>
      </c>
      <c r="Q69" s="2400">
        <f ca="1">ROUND(Q70-Q71*Q72,0)</f>
        <v>8</v>
      </c>
      <c r="R69" s="2403"/>
    </row>
    <row r="70" spans="1:18" ht="15.75" thickBot="1">
      <c r="A70" s="823" t="s">
        <v>1784</v>
      </c>
      <c r="B70" s="824" t="s">
        <v>1807</v>
      </c>
      <c r="C70" s="825">
        <f ca="1">ROUND(C67*10000/F70,0)</f>
        <v>-867</v>
      </c>
      <c r="D70" s="826" t="s">
        <v>1808</v>
      </c>
      <c r="E70" s="827" t="s">
        <v>1809</v>
      </c>
      <c r="F70" s="828">
        <f ca="1">F43</f>
        <v>23909.5</v>
      </c>
      <c r="O70" s="2401" t="s">
        <v>2397</v>
      </c>
      <c r="P70" s="2407" t="s">
        <v>2398</v>
      </c>
      <c r="Q70" s="2400">
        <f ca="1">C39</f>
        <v>562</v>
      </c>
      <c r="R70" s="2399" t="s">
        <v>2378</v>
      </c>
    </row>
    <row r="71" spans="1:18" ht="15.75" thickBot="1">
      <c r="O71" s="2401" t="s">
        <v>2399</v>
      </c>
      <c r="P71" s="2407" t="s">
        <v>2400</v>
      </c>
      <c r="Q71" s="2400">
        <f ca="1">C13</f>
        <v>6924</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10125</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2" priority="6">
      <formula>$L$48&gt;$J$51</formula>
    </cfRule>
  </conditionalFormatting>
  <conditionalFormatting sqref="I55">
    <cfRule type="expression" dxfId="111" priority="7">
      <formula>$J$51&gt;$L$48</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pageSetUpPr fitToPage="1"/>
  </sheetPr>
  <dimension ref="A1:M16"/>
  <sheetViews>
    <sheetView topLeftCell="A19" workbookViewId="0">
      <selection activeCell="H23" sqref="H23"/>
    </sheetView>
  </sheetViews>
  <sheetFormatPr defaultRowHeight="13.5"/>
  <cols>
    <col min="1" max="1" width="40" customWidth="1"/>
    <col min="8" max="8" width="12.125" customWidth="1"/>
  </cols>
  <sheetData>
    <row r="1" spans="1:13" s="2939" customFormat="1">
      <c r="A1" s="2939" t="s">
        <v>2975</v>
      </c>
      <c r="B1" s="2939" t="s">
        <v>2976</v>
      </c>
      <c r="C1" s="2939" t="s">
        <v>2977</v>
      </c>
      <c r="D1" s="2939" t="s">
        <v>2978</v>
      </c>
      <c r="E1" s="2939" t="s">
        <v>2979</v>
      </c>
      <c r="F1" s="2939" t="s">
        <v>2030</v>
      </c>
      <c r="G1" s="2939" t="s">
        <v>2980</v>
      </c>
      <c r="H1" s="2939" t="s">
        <v>2981</v>
      </c>
      <c r="I1" s="2939" t="s">
        <v>2982</v>
      </c>
      <c r="J1" s="2939" t="s">
        <v>2983</v>
      </c>
      <c r="K1" s="2939" t="s">
        <v>2984</v>
      </c>
      <c r="L1" s="2939" t="s">
        <v>2985</v>
      </c>
      <c r="M1" s="2939" t="s">
        <v>2986</v>
      </c>
    </row>
    <row r="2" spans="1:13" s="2939" customFormat="1">
      <c r="A2" s="2939" t="s">
        <v>2987</v>
      </c>
      <c r="B2" s="2939" t="s">
        <v>1944</v>
      </c>
      <c r="C2" s="2939" t="s">
        <v>2988</v>
      </c>
      <c r="D2" s="2939">
        <v>36365.370000000003</v>
      </c>
      <c r="E2" s="2939">
        <v>65458</v>
      </c>
      <c r="F2" s="2939">
        <v>1.8</v>
      </c>
      <c r="G2" s="2939" t="s">
        <v>2989</v>
      </c>
      <c r="H2" s="2939" t="s">
        <v>2990</v>
      </c>
      <c r="I2" s="2939">
        <v>180000</v>
      </c>
      <c r="J2" s="2939">
        <v>260000</v>
      </c>
      <c r="K2" s="2939">
        <v>39720.120000000003</v>
      </c>
      <c r="L2" s="2939">
        <v>44.44</v>
      </c>
      <c r="M2" s="2939" t="s">
        <v>2991</v>
      </c>
    </row>
    <row r="3" spans="1:13" s="2939" customFormat="1">
      <c r="A3" s="2939" t="s">
        <v>2992</v>
      </c>
      <c r="B3" s="2939" t="s">
        <v>1944</v>
      </c>
      <c r="C3" s="2939" t="s">
        <v>2993</v>
      </c>
      <c r="D3" s="2939">
        <v>151738.6</v>
      </c>
      <c r="E3" s="2939">
        <v>152374</v>
      </c>
      <c r="F3" s="2939">
        <v>1.004</v>
      </c>
      <c r="G3" s="2939" t="s">
        <v>2989</v>
      </c>
      <c r="H3" s="2939" t="s">
        <v>2994</v>
      </c>
      <c r="I3" s="2939">
        <v>460000</v>
      </c>
      <c r="J3" s="2939">
        <v>685400</v>
      </c>
      <c r="K3" s="2939">
        <v>44981.43</v>
      </c>
      <c r="L3" s="2939">
        <v>49</v>
      </c>
      <c r="M3" s="2939" t="s">
        <v>2995</v>
      </c>
    </row>
    <row r="4" spans="1:13" s="3182" customFormat="1">
      <c r="A4" s="3182" t="s">
        <v>2996</v>
      </c>
      <c r="B4" s="3182" t="s">
        <v>1944</v>
      </c>
      <c r="C4" s="3182" t="s">
        <v>2988</v>
      </c>
      <c r="D4" s="3182">
        <v>39199.449999999997</v>
      </c>
      <c r="E4" s="3182">
        <v>97998</v>
      </c>
      <c r="F4" s="3182">
        <v>2.5</v>
      </c>
      <c r="G4" s="3182" t="s">
        <v>2989</v>
      </c>
      <c r="H4" s="3182" t="s">
        <v>2997</v>
      </c>
      <c r="I4" s="3182">
        <v>117500</v>
      </c>
      <c r="J4" s="3182">
        <v>157000</v>
      </c>
      <c r="K4" s="3182">
        <v>16020.73</v>
      </c>
      <c r="L4" s="3182">
        <v>33.619999999999997</v>
      </c>
      <c r="M4" s="3182" t="s">
        <v>2998</v>
      </c>
    </row>
    <row r="5" spans="1:13" s="2939" customFormat="1">
      <c r="A5" s="2939" t="s">
        <v>2999</v>
      </c>
      <c r="B5" s="2939" t="s">
        <v>1944</v>
      </c>
      <c r="C5" s="2939" t="s">
        <v>2993</v>
      </c>
      <c r="D5" s="2939">
        <v>132352.79999999999</v>
      </c>
      <c r="E5" s="2939">
        <v>201775</v>
      </c>
      <c r="F5" s="2939">
        <v>1.52</v>
      </c>
      <c r="G5" s="2939" t="s">
        <v>2989</v>
      </c>
      <c r="H5" s="2939" t="s">
        <v>3000</v>
      </c>
      <c r="I5" s="2939">
        <v>365000</v>
      </c>
      <c r="J5" s="2939">
        <v>380000</v>
      </c>
      <c r="K5" s="2939">
        <v>18832.86</v>
      </c>
      <c r="L5" s="2939">
        <v>4.1100000000000003</v>
      </c>
      <c r="M5" s="2939" t="s">
        <v>3001</v>
      </c>
    </row>
    <row r="6" spans="1:13" s="2939" customFormat="1">
      <c r="A6" s="2939" t="s">
        <v>3002</v>
      </c>
      <c r="B6" s="2939" t="s">
        <v>1944</v>
      </c>
      <c r="C6" s="2939" t="s">
        <v>2993</v>
      </c>
      <c r="D6" s="2939">
        <v>65602.95</v>
      </c>
      <c r="E6" s="2939">
        <v>120165</v>
      </c>
      <c r="F6" s="2939">
        <v>1.83</v>
      </c>
      <c r="G6" s="2939" t="s">
        <v>2989</v>
      </c>
      <c r="H6" s="2939" t="s">
        <v>3003</v>
      </c>
      <c r="I6" s="2939">
        <v>330000</v>
      </c>
      <c r="J6" s="2939">
        <v>495000</v>
      </c>
      <c r="K6" s="2939">
        <v>41193.360000000001</v>
      </c>
      <c r="L6" s="2939">
        <v>50</v>
      </c>
      <c r="M6" s="2939" t="s">
        <v>3004</v>
      </c>
    </row>
    <row r="7" spans="1:13" s="2939" customFormat="1">
      <c r="A7" s="2939" t="s">
        <v>3005</v>
      </c>
      <c r="B7" s="2939" t="s">
        <v>1944</v>
      </c>
      <c r="C7" s="2939" t="s">
        <v>2993</v>
      </c>
      <c r="D7" s="2939">
        <v>81664.259999999995</v>
      </c>
      <c r="E7" s="2939">
        <v>97997</v>
      </c>
      <c r="F7" s="2939">
        <v>1.2</v>
      </c>
      <c r="G7" s="2939" t="s">
        <v>2989</v>
      </c>
      <c r="H7" s="2939" t="s">
        <v>3006</v>
      </c>
      <c r="I7" s="2939">
        <v>90000</v>
      </c>
      <c r="J7" s="2939">
        <v>125000</v>
      </c>
      <c r="K7" s="2939">
        <v>12755.48</v>
      </c>
      <c r="L7" s="2939">
        <v>38.89</v>
      </c>
      <c r="M7" s="2939" t="s">
        <v>3007</v>
      </c>
    </row>
    <row r="8" spans="1:13" s="3181" customFormat="1">
      <c r="A8" s="3181" t="s">
        <v>3008</v>
      </c>
      <c r="B8" s="3181" t="s">
        <v>1944</v>
      </c>
      <c r="C8" s="3181" t="s">
        <v>2988</v>
      </c>
      <c r="D8" s="3181">
        <v>65516.160000000003</v>
      </c>
      <c r="E8" s="3181">
        <v>163790</v>
      </c>
      <c r="F8" s="3181">
        <v>2.5</v>
      </c>
      <c r="G8" s="3181" t="s">
        <v>2989</v>
      </c>
      <c r="H8" s="3181" t="s">
        <v>3009</v>
      </c>
      <c r="I8" s="3181">
        <v>190100</v>
      </c>
      <c r="J8" s="3181">
        <v>240000</v>
      </c>
      <c r="K8" s="3181">
        <v>14652.9</v>
      </c>
      <c r="L8" s="3181">
        <v>26.25</v>
      </c>
      <c r="M8" s="3181" t="s">
        <v>3010</v>
      </c>
    </row>
    <row r="9" spans="1:13" s="2939" customFormat="1">
      <c r="A9" s="2939" t="s">
        <v>3011</v>
      </c>
      <c r="B9" s="2939" t="s">
        <v>1944</v>
      </c>
      <c r="C9" s="2939" t="s">
        <v>2993</v>
      </c>
      <c r="D9" s="2939">
        <v>151051.70000000001</v>
      </c>
      <c r="E9" s="2939">
        <v>274253</v>
      </c>
      <c r="F9" s="2939" t="s">
        <v>3012</v>
      </c>
      <c r="G9" s="2939" t="s">
        <v>2989</v>
      </c>
      <c r="H9" s="2939" t="s">
        <v>3013</v>
      </c>
      <c r="I9" s="2939">
        <v>385000</v>
      </c>
      <c r="J9" s="2939">
        <v>502000</v>
      </c>
      <c r="K9" s="2939">
        <v>18304.27</v>
      </c>
      <c r="L9" s="2939">
        <v>30.39</v>
      </c>
      <c r="M9" s="2939" t="s">
        <v>2995</v>
      </c>
    </row>
    <row r="10" spans="1:13" s="2939" customFormat="1">
      <c r="A10" s="2939" t="s">
        <v>3014</v>
      </c>
      <c r="B10" s="2939" t="s">
        <v>1944</v>
      </c>
      <c r="C10" s="2939" t="s">
        <v>2988</v>
      </c>
      <c r="D10" s="2939">
        <v>155132.79999999999</v>
      </c>
      <c r="E10" s="2939">
        <v>156684</v>
      </c>
      <c r="F10" s="2939">
        <v>1.009999305</v>
      </c>
      <c r="G10" s="2939" t="s">
        <v>2989</v>
      </c>
      <c r="H10" s="2939" t="s">
        <v>3015</v>
      </c>
      <c r="I10" s="2939">
        <v>470000</v>
      </c>
      <c r="J10" s="2939">
        <v>705000</v>
      </c>
      <c r="K10" s="2939">
        <v>44995.01</v>
      </c>
      <c r="L10" s="2939">
        <v>50</v>
      </c>
      <c r="M10" s="2939" t="s">
        <v>3016</v>
      </c>
    </row>
    <row r="11" spans="1:13" s="2939" customFormat="1">
      <c r="A11" s="2939" t="s">
        <v>3017</v>
      </c>
      <c r="B11" s="2939" t="s">
        <v>1944</v>
      </c>
      <c r="C11" s="2939" t="s">
        <v>2988</v>
      </c>
      <c r="D11" s="2939">
        <v>41170.230000000003</v>
      </c>
      <c r="E11" s="2939">
        <v>60109</v>
      </c>
      <c r="F11" s="2939">
        <v>1.46</v>
      </c>
      <c r="G11" s="2939" t="s">
        <v>2989</v>
      </c>
      <c r="H11" s="2939" t="s">
        <v>3018</v>
      </c>
      <c r="I11" s="2939">
        <v>88000</v>
      </c>
      <c r="J11" s="2939">
        <v>121000</v>
      </c>
      <c r="K11" s="2939">
        <v>20130.09</v>
      </c>
      <c r="L11" s="2939">
        <v>37.5</v>
      </c>
      <c r="M11" s="2939" t="s">
        <v>3019</v>
      </c>
    </row>
    <row r="12" spans="1:13" s="3183" customFormat="1">
      <c r="A12" s="3183" t="s">
        <v>3020</v>
      </c>
      <c r="B12" s="3183" t="s">
        <v>1944</v>
      </c>
      <c r="C12" s="3183" t="s">
        <v>2988</v>
      </c>
      <c r="D12" s="3183">
        <v>45104.74</v>
      </c>
      <c r="E12" s="3183">
        <v>112093</v>
      </c>
      <c r="F12" s="3183">
        <v>2.5</v>
      </c>
      <c r="G12" s="3183" t="s">
        <v>2989</v>
      </c>
      <c r="H12" s="3183" t="s">
        <v>3018</v>
      </c>
      <c r="I12" s="3183">
        <v>130000</v>
      </c>
      <c r="J12" s="3183">
        <v>193000</v>
      </c>
      <c r="K12" s="3183">
        <v>17217.84</v>
      </c>
      <c r="L12" s="3183">
        <v>48.46</v>
      </c>
      <c r="M12" s="3183" t="s">
        <v>3021</v>
      </c>
    </row>
    <row r="13" spans="1:13" s="3181" customFormat="1">
      <c r="A13" s="3181" t="s">
        <v>3022</v>
      </c>
      <c r="B13" s="3181" t="s">
        <v>1944</v>
      </c>
      <c r="C13" s="3181" t="s">
        <v>2988</v>
      </c>
      <c r="D13" s="3181">
        <v>32878.9</v>
      </c>
      <c r="E13" s="3181">
        <v>92061</v>
      </c>
      <c r="F13" s="3181">
        <v>2.8</v>
      </c>
      <c r="G13" s="3181" t="s">
        <v>2989</v>
      </c>
      <c r="H13" s="3181" t="s">
        <v>3023</v>
      </c>
      <c r="I13" s="3181">
        <v>113000</v>
      </c>
      <c r="J13" s="3181">
        <v>158000</v>
      </c>
      <c r="K13" s="3181">
        <v>17162.52</v>
      </c>
      <c r="L13" s="3181">
        <v>39.82</v>
      </c>
      <c r="M13" s="3181" t="s">
        <v>3024</v>
      </c>
    </row>
    <row r="14" spans="1:13" s="2939" customFormat="1">
      <c r="A14" s="2939" t="s">
        <v>3025</v>
      </c>
      <c r="B14" s="2939" t="s">
        <v>1944</v>
      </c>
      <c r="C14" s="2939" t="s">
        <v>2993</v>
      </c>
      <c r="D14" s="2939">
        <v>17756.68</v>
      </c>
      <c r="E14" s="2939">
        <v>39065</v>
      </c>
      <c r="F14" s="2939">
        <v>2.2000000000000002</v>
      </c>
      <c r="G14" s="2939" t="s">
        <v>2989</v>
      </c>
      <c r="H14" s="2939" t="s">
        <v>3026</v>
      </c>
      <c r="I14" s="2939">
        <v>50000</v>
      </c>
      <c r="J14" s="2939">
        <v>75000</v>
      </c>
      <c r="K14" s="2939">
        <v>19198.77</v>
      </c>
      <c r="L14" s="2939">
        <v>50</v>
      </c>
      <c r="M14" s="2939" t="s">
        <v>3027</v>
      </c>
    </row>
    <row r="15" spans="1:13" s="2939" customFormat="1">
      <c r="A15" s="2939" t="s">
        <v>3028</v>
      </c>
      <c r="B15" s="2939" t="s">
        <v>1944</v>
      </c>
      <c r="C15" s="2939" t="s">
        <v>2993</v>
      </c>
      <c r="D15" s="2939">
        <v>74844.53</v>
      </c>
      <c r="E15" s="2939">
        <v>134689</v>
      </c>
      <c r="F15" s="2939">
        <v>1.8</v>
      </c>
      <c r="G15" s="2939" t="s">
        <v>2989</v>
      </c>
      <c r="H15" s="2939" t="s">
        <v>3029</v>
      </c>
      <c r="I15" s="2939">
        <v>87100</v>
      </c>
      <c r="J15" s="2939">
        <v>126000</v>
      </c>
      <c r="K15" s="2939">
        <v>9354.8700000000008</v>
      </c>
      <c r="L15" s="2939">
        <v>44.66</v>
      </c>
      <c r="M15" s="2939" t="s">
        <v>3030</v>
      </c>
    </row>
    <row r="16" spans="1:13" s="2939" customFormat="1">
      <c r="A16" s="2939" t="s">
        <v>3031</v>
      </c>
      <c r="B16" s="2939" t="s">
        <v>1944</v>
      </c>
      <c r="C16" s="2939" t="s">
        <v>2993</v>
      </c>
      <c r="D16" s="2939">
        <v>98838.47</v>
      </c>
      <c r="E16" s="2939">
        <v>170643</v>
      </c>
      <c r="F16" s="2939">
        <v>1.73</v>
      </c>
      <c r="G16" s="2939" t="s">
        <v>2989</v>
      </c>
      <c r="H16" s="2939" t="s">
        <v>3032</v>
      </c>
      <c r="I16" s="2939">
        <v>57000</v>
      </c>
      <c r="J16" s="2939">
        <v>57000</v>
      </c>
      <c r="K16" s="2939">
        <v>3340.3</v>
      </c>
      <c r="L16" s="2939">
        <v>0</v>
      </c>
      <c r="M16" s="2939" t="s">
        <v>3033</v>
      </c>
    </row>
  </sheetData>
  <phoneticPr fontId="233" type="noConversion"/>
  <pageMargins left="0.7" right="0.7" top="0.75" bottom="0.75" header="0.3" footer="0.3"/>
  <pageSetup paperSize="0" orientation="portrait" horizontalDpi="0" verticalDpi="0" copies="0" r:id="rId1"/>
  <drawing r:id="rId2"/>
</worksheet>
</file>

<file path=xl/worksheets/sheet35.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E22" zoomScale="80" zoomScaleNormal="80" workbookViewId="0">
      <selection activeCell="C33" sqref="C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3080</v>
      </c>
      <c r="D1" s="3122" t="s">
        <v>3125</v>
      </c>
      <c r="E1" s="2387" t="s">
        <v>2372</v>
      </c>
      <c r="F1" s="2388">
        <f ca="1">J53</f>
        <v>47.36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1723</v>
      </c>
      <c r="B2" s="775">
        <f ca="1">C40+J29+L46</f>
        <v>2414</v>
      </c>
      <c r="C2" s="2057"/>
      <c r="D2" s="2055"/>
      <c r="E2" s="2056"/>
      <c r="F2" s="2056"/>
      <c r="G2" s="1590"/>
      <c r="H2" s="2057"/>
      <c r="I2" s="2057"/>
      <c r="J2" s="2057"/>
      <c r="K2" s="2058"/>
      <c r="L2" s="2057"/>
      <c r="M2" s="2057"/>
    </row>
    <row r="3" spans="1:33" ht="18" customHeight="1" thickBot="1">
      <c r="A3" s="833" t="s">
        <v>1724</v>
      </c>
      <c r="B3" s="834">
        <f ca="1">IF(ISERROR(B2*10000/F43),0,ROUND(B2*10000/F43,0))</f>
        <v>4221</v>
      </c>
      <c r="C3" s="2057"/>
      <c r="D3" s="2055"/>
      <c r="E3" s="2056"/>
      <c r="F3" s="2056"/>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2456</v>
      </c>
      <c r="C5" s="55">
        <f ca="1">C6+C10+C12</f>
        <v>198</v>
      </c>
      <c r="D5" s="2496" t="s">
        <v>2459</v>
      </c>
      <c r="E5" s="2490"/>
      <c r="F5" s="2491"/>
      <c r="G5" s="1592"/>
      <c r="H5" s="781">
        <v>1</v>
      </c>
      <c r="I5" s="782" t="s">
        <v>2456</v>
      </c>
      <c r="J5" s="55">
        <f ca="1">J6+J10+J12</f>
        <v>0</v>
      </c>
      <c r="K5" s="2496" t="s">
        <v>2459</v>
      </c>
      <c r="L5" s="2490"/>
      <c r="M5" s="2491"/>
    </row>
    <row r="6" spans="1:33" ht="18" customHeight="1">
      <c r="A6" s="1831" t="s">
        <v>1821</v>
      </c>
      <c r="B6" s="3443" t="s">
        <v>2461</v>
      </c>
      <c r="C6" s="783">
        <f ca="1">ROUND(F6*F8*F7*(1-F9)/10000,0)</f>
        <v>198</v>
      </c>
      <c r="D6" s="2497" t="s">
        <v>2460</v>
      </c>
      <c r="E6" s="784" t="s">
        <v>1735</v>
      </c>
      <c r="F6" s="785">
        <f ca="1">INDIRECT("'数据-取费表'!u"&amp;$G$1)</f>
        <v>1</v>
      </c>
      <c r="G6" s="1592"/>
      <c r="H6" s="2504" t="s">
        <v>2466</v>
      </c>
      <c r="I6" s="3443" t="s">
        <v>2461</v>
      </c>
      <c r="J6" s="783">
        <f ca="1">ROUND(M6*M8*M7*(1-M9)/10000,0)</f>
        <v>0</v>
      </c>
      <c r="K6" s="341" t="s">
        <v>1734</v>
      </c>
      <c r="L6" s="784" t="s">
        <v>1735</v>
      </c>
      <c r="M6" s="785">
        <f ca="1">INDIRECT("'数据-取费表'!z"&amp;$G$1)</f>
        <v>0</v>
      </c>
    </row>
    <row r="7" spans="1:33" ht="18" customHeight="1">
      <c r="A7" s="2500"/>
      <c r="B7" s="3444"/>
      <c r="C7" s="788"/>
      <c r="D7" s="789"/>
      <c r="E7" s="784" t="s">
        <v>1736</v>
      </c>
      <c r="F7" s="785">
        <f ca="1">IF(INDIRECT("'数据-取费表'!ah"&amp;$G$1)="",INDIRECT("'数据-取费表'!k"&amp;$G$1),INDIRECT("'数据-取费表'!ah"&amp;$G$1))</f>
        <v>5719</v>
      </c>
      <c r="G7" s="1592"/>
      <c r="H7" s="2489"/>
      <c r="I7" s="3444"/>
      <c r="J7" s="788"/>
      <c r="K7" s="789"/>
      <c r="L7" s="784" t="s">
        <v>1736</v>
      </c>
      <c r="M7" s="785">
        <f ca="1">F7</f>
        <v>5719</v>
      </c>
    </row>
    <row r="8" spans="1:33" ht="18" customHeight="1">
      <c r="A8" s="2493"/>
      <c r="B8" s="3445"/>
      <c r="C8" s="788"/>
      <c r="D8" s="789"/>
      <c r="E8" s="784" t="s">
        <v>1737</v>
      </c>
      <c r="F8" s="785">
        <f ca="1">INDIRECT("'数据-取费表'!ai"&amp;$G$1)</f>
        <v>365</v>
      </c>
      <c r="G8" s="1592"/>
      <c r="H8" s="2489"/>
      <c r="I8" s="3445"/>
      <c r="J8" s="788"/>
      <c r="K8" s="789"/>
      <c r="L8" s="784" t="s">
        <v>1737</v>
      </c>
      <c r="M8" s="785">
        <f ca="1">INDIRECT("'数据-取费表'!ai"&amp;$G$1)</f>
        <v>365</v>
      </c>
    </row>
    <row r="9" spans="1:33" ht="18" customHeight="1">
      <c r="A9" s="786"/>
      <c r="B9" s="3446"/>
      <c r="C9" s="788"/>
      <c r="D9" s="789"/>
      <c r="E9" s="784" t="s">
        <v>1738</v>
      </c>
      <c r="F9" s="794">
        <f ca="1">INDIRECT("'数据-取费表'!w"&amp;$G$1)</f>
        <v>0.05</v>
      </c>
      <c r="G9" s="1592"/>
      <c r="H9" s="2505"/>
      <c r="I9" s="3445"/>
      <c r="J9" s="788"/>
      <c r="K9" s="789"/>
      <c r="L9" s="795" t="s">
        <v>1738</v>
      </c>
      <c r="M9" s="796">
        <f ca="1">INDIRECT("'数据-取费表'!ab"&amp;$G$1)</f>
        <v>0</v>
      </c>
    </row>
    <row r="10" spans="1:33" ht="18" customHeight="1">
      <c r="A10" s="1831" t="s">
        <v>2464</v>
      </c>
      <c r="B10" s="2494" t="s">
        <v>2457</v>
      </c>
      <c r="C10" s="799">
        <f ca="1">ROUND(IF(F10="押一",C6/12*F11,IF(F10="押二",C6/12*2*F11,IF(F10="押三",C6/12*3*F11,C11*F11))),0)</f>
        <v>0</v>
      </c>
      <c r="D10" s="2501" t="s">
        <v>2966</v>
      </c>
      <c r="E10" s="2498" t="s">
        <v>2462</v>
      </c>
      <c r="F10" s="2621" t="s">
        <v>3124</v>
      </c>
      <c r="G10" s="1592"/>
      <c r="H10" s="2561" t="s">
        <v>2467</v>
      </c>
      <c r="I10" s="2566" t="s">
        <v>2457</v>
      </c>
      <c r="J10" s="783">
        <f ca="1">ROUND(IF(M10="押一",J6/12*M11,IF(M10="押二",J6/12*2*M11,IF(M10="押三",J6/12*3*M11,J11*M11))),0)</f>
        <v>0</v>
      </c>
      <c r="K10" s="2501" t="s">
        <v>2966</v>
      </c>
      <c r="L10" s="2498" t="s">
        <v>2462</v>
      </c>
      <c r="M10" s="2621"/>
    </row>
    <row r="11" spans="1:33" ht="18" customHeight="1">
      <c r="A11" s="790"/>
      <c r="B11" s="2495" t="s">
        <v>2571</v>
      </c>
      <c r="C11" s="2499"/>
      <c r="D11" s="789"/>
      <c r="E11" s="2498" t="s">
        <v>2463</v>
      </c>
      <c r="F11" s="796">
        <f ca="1">'数据-取费表'!B39</f>
        <v>1.4999999999999999E-2</v>
      </c>
      <c r="G11" s="1592"/>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2"/>
      <c r="H12" s="2551" t="s">
        <v>2468</v>
      </c>
      <c r="I12" s="2564" t="s">
        <v>2458</v>
      </c>
      <c r="J12" s="2565"/>
      <c r="K12" s="2540"/>
      <c r="L12" s="2541"/>
      <c r="M12" s="2554"/>
    </row>
    <row r="13" spans="1:33" ht="18" customHeight="1" thickTop="1">
      <c r="A13" s="1830">
        <v>2</v>
      </c>
      <c r="B13" s="1828" t="s">
        <v>1739</v>
      </c>
      <c r="C13" s="792">
        <f ca="1">ROUND(C29*F13,0)</f>
        <v>1656</v>
      </c>
      <c r="D13" s="1835" t="s">
        <v>2295</v>
      </c>
      <c r="E13" s="1835" t="s">
        <v>1741</v>
      </c>
      <c r="F13" s="2536">
        <f ca="1">INDIRECT("'数据-取费表'!y"&amp;$G$1)</f>
        <v>1</v>
      </c>
      <c r="G13" s="1592"/>
      <c r="H13" s="1830">
        <v>2</v>
      </c>
      <c r="I13" s="1828" t="s">
        <v>1739</v>
      </c>
      <c r="J13" s="1820">
        <f ca="1">ROUND(J14*J15,0)</f>
        <v>0</v>
      </c>
      <c r="K13" s="1822" t="s">
        <v>1740</v>
      </c>
      <c r="L13" s="2552"/>
      <c r="M13" s="2553"/>
    </row>
    <row r="14" spans="1:33" ht="18" customHeight="1">
      <c r="A14" s="1648" t="s">
        <v>1881</v>
      </c>
      <c r="B14" s="784" t="s">
        <v>641</v>
      </c>
      <c r="C14" s="804">
        <f ca="1">INDIRECT("'数据-取费表'!m"&amp;$G$1)+INDIRECT("'数据-取费表'!t"&amp;$G$1)</f>
        <v>1230</v>
      </c>
      <c r="D14" s="1979" t="s">
        <v>1742</v>
      </c>
      <c r="E14" s="1980"/>
      <c r="F14" s="805"/>
      <c r="G14" s="1592"/>
      <c r="H14" s="1649" t="s">
        <v>1827</v>
      </c>
      <c r="I14" s="2231" t="s">
        <v>2823</v>
      </c>
      <c r="J14" s="53">
        <f ca="1">C29</f>
        <v>1656</v>
      </c>
      <c r="K14" s="26"/>
      <c r="L14" s="801"/>
      <c r="M14" s="802"/>
    </row>
    <row r="15" spans="1:33" s="2064" customFormat="1" ht="18" customHeight="1" thickBot="1">
      <c r="A15" s="1648" t="s">
        <v>1882</v>
      </c>
      <c r="B15" s="784" t="s">
        <v>643</v>
      </c>
      <c r="C15" s="53">
        <f ca="1">ROUND(C14*F15,0)</f>
        <v>37</v>
      </c>
      <c r="D15" s="806" t="s">
        <v>1743</v>
      </c>
      <c r="E15" s="806" t="s">
        <v>1744</v>
      </c>
      <c r="F15" s="807">
        <f>'数据-取费表'!B33</f>
        <v>0.03</v>
      </c>
      <c r="G15" s="1593"/>
      <c r="H15" s="2551" t="s">
        <v>1886</v>
      </c>
      <c r="I15" s="2546" t="s">
        <v>1741</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164</v>
      </c>
      <c r="K16" s="1822" t="s">
        <v>1747</v>
      </c>
      <c r="L16" s="2486"/>
      <c r="M16" s="2491"/>
    </row>
    <row r="17" spans="1:33" s="2064" customFormat="1" ht="18" customHeight="1">
      <c r="A17" s="1648" t="s">
        <v>1884</v>
      </c>
      <c r="B17" s="784" t="s">
        <v>649</v>
      </c>
      <c r="C17" s="53">
        <f ca="1">ROUND(F17*(F43+INDIRECT("'数据-取费表'!S"&amp;$G$1))/10000,0)</f>
        <v>114</v>
      </c>
      <c r="D17" s="784" t="s">
        <v>1748</v>
      </c>
      <c r="E17" s="784" t="s">
        <v>1749</v>
      </c>
      <c r="F17" s="56">
        <f>'数据-取费表'!B35</f>
        <v>200</v>
      </c>
      <c r="G17" s="1593"/>
      <c r="H17" s="1649" t="s">
        <v>1827</v>
      </c>
      <c r="I17" s="784" t="s">
        <v>652</v>
      </c>
      <c r="J17" s="53">
        <f ca="1">ROUND(IF(项目基本情况!B11="自然人",J5*M17,J18+J19+J20),0)</f>
        <v>139</v>
      </c>
      <c r="K17" s="2485" t="s">
        <v>1750</v>
      </c>
      <c r="L17" s="2484" t="s">
        <v>1751</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18</v>
      </c>
      <c r="D18" s="784" t="s">
        <v>1743</v>
      </c>
      <c r="E18" s="784" t="s">
        <v>1744</v>
      </c>
      <c r="F18" s="809">
        <f>'数据-取费表'!B36</f>
        <v>1.4999999999999999E-2</v>
      </c>
      <c r="G18" s="1593"/>
      <c r="H18" s="1648" t="s">
        <v>1881</v>
      </c>
      <c r="I18" s="784" t="s">
        <v>1752</v>
      </c>
      <c r="J18" s="53">
        <f ca="1">ROUND(J5*M18/1.05,1)</f>
        <v>0</v>
      </c>
      <c r="K18" s="2484" t="s">
        <v>1753</v>
      </c>
      <c r="L18" s="784" t="s">
        <v>1744</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4" t="s">
        <v>658</v>
      </c>
      <c r="C19" s="53">
        <f ca="1">SUM(C14:C18)</f>
        <v>1399</v>
      </c>
      <c r="D19" s="261" t="s">
        <v>1754</v>
      </c>
      <c r="E19" s="1982"/>
      <c r="F19" s="56"/>
      <c r="G19" s="1592"/>
      <c r="H19" s="1648" t="s">
        <v>1882</v>
      </c>
      <c r="I19" s="784" t="s">
        <v>1755</v>
      </c>
      <c r="J19" s="53">
        <f ca="1">IF(K19="按租金收入计税",ROUND(J5*M19,1),ROUND(C29*F33*0.7,1))</f>
        <v>139.1</v>
      </c>
      <c r="K19" s="811" t="s">
        <v>661</v>
      </c>
      <c r="L19" s="784" t="s">
        <v>1744</v>
      </c>
      <c r="M19" s="809">
        <f>IF(K19="按租金收入计税",'数据-取费表'!B51,'数据-取费表'!B50)</f>
        <v>1.2E-2</v>
      </c>
    </row>
    <row r="20" spans="1:33" s="2064" customFormat="1" ht="18" customHeight="1">
      <c r="A20" s="1649" t="s">
        <v>1886</v>
      </c>
      <c r="B20" s="784" t="s">
        <v>662</v>
      </c>
      <c r="C20" s="53">
        <f ca="1">ROUND(C19*F20,0)</f>
        <v>14</v>
      </c>
      <c r="D20" s="812" t="s">
        <v>1756</v>
      </c>
      <c r="E20" s="784" t="s">
        <v>1744</v>
      </c>
      <c r="F20" s="809">
        <f>'数据-取费表'!B37</f>
        <v>0.01</v>
      </c>
      <c r="G20" s="1593"/>
      <c r="H20" s="1651" t="s">
        <v>1877</v>
      </c>
      <c r="I20" s="341" t="s">
        <v>1757</v>
      </c>
      <c r="J20" s="54">
        <f ca="1">ROUND(M20*M21/10000,0)</f>
        <v>0</v>
      </c>
      <c r="K20" s="814" t="s">
        <v>1758</v>
      </c>
      <c r="L20" s="784" t="s">
        <v>1759</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1760</v>
      </c>
      <c r="C21" s="53" t="s">
        <v>1761</v>
      </c>
      <c r="D21" s="812" t="s">
        <v>2296</v>
      </c>
      <c r="E21" s="784" t="s">
        <v>1762</v>
      </c>
      <c r="F21" s="809">
        <f>'数据-取费表'!B38</f>
        <v>0.01</v>
      </c>
      <c r="G21" s="1593"/>
      <c r="H21" s="2506"/>
      <c r="I21" s="793"/>
      <c r="J21" s="69"/>
      <c r="K21" s="816"/>
      <c r="L21" s="784" t="s">
        <v>1763</v>
      </c>
      <c r="M21" s="785">
        <f ca="1">INDIRECT("'数据-取费表'!r"&amp;$G$1)</f>
        <v>1548.53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1764</v>
      </c>
      <c r="C22" s="53"/>
      <c r="D22" s="2572" t="str">
        <f>IF(F23&lt;=1,"单利计息。","复利计息。")&amp;"建造成本、管理费用、销售费用产生的利息。"</f>
        <v>复利计息。建造成本、管理费用、销售费用产生的利息。</v>
      </c>
      <c r="E22" s="1982"/>
      <c r="F22" s="56"/>
      <c r="G22" s="1592"/>
      <c r="H22" s="1649" t="s">
        <v>1886</v>
      </c>
      <c r="I22" s="784" t="s">
        <v>1765</v>
      </c>
      <c r="J22" s="53">
        <f ca="1">ROUND(J14*M22,0)</f>
        <v>25</v>
      </c>
      <c r="K22" s="2484" t="s">
        <v>1766</v>
      </c>
      <c r="L22" s="784" t="s">
        <v>1744</v>
      </c>
      <c r="M22" s="817">
        <f ca="1">INDIRECT("'数据-取费表'!Ak"&amp;$G$1)</f>
        <v>1.4999999999999999E-2</v>
      </c>
    </row>
    <row r="23" spans="1:33" s="2064" customFormat="1" ht="18" customHeight="1">
      <c r="A23" s="1648" t="s">
        <v>1828</v>
      </c>
      <c r="B23" s="784" t="s">
        <v>2533</v>
      </c>
      <c r="C23" s="53">
        <f ca="1">ROUND(IF('数据-取费表'!B22&lt;=1,(C19+C20)*F24*F23/2,(C19+C20)*(POWER((1+F24),F23/2)-1)),0)</f>
        <v>67</v>
      </c>
      <c r="D23" s="2571"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484" t="s">
        <v>1768</v>
      </c>
      <c r="L23" s="784" t="s">
        <v>1744</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1769</v>
      </c>
      <c r="C24" s="53">
        <f ca="1">ROUND(IF('数据-取费表'!B22&lt;=1,F21*F24*F23/2,F21*(POWER((1+F24),F23/2)-1)),4)</f>
        <v>5.0000000000000001E-4</v>
      </c>
      <c r="D24" s="2571" t="str">
        <f>IF(F23&lt;=1,"销售费用×利率×(建设周期÷2)","销售费用×((1+利率)^(建设周期÷2)-1)")</f>
        <v>销售费用×((1+利率)^(建设周期÷2)-1)</v>
      </c>
      <c r="E24" s="784" t="s">
        <v>1770</v>
      </c>
      <c r="F24" s="819">
        <f ca="1">'数据-取费表'!B40</f>
        <v>4.7500000000000001E-2</v>
      </c>
      <c r="G24" s="1593"/>
      <c r="H24" s="2551" t="s">
        <v>1888</v>
      </c>
      <c r="I24" s="2546" t="s">
        <v>662</v>
      </c>
      <c r="J24" s="2544">
        <f ca="1">ROUND(J5*M24,0)</f>
        <v>0</v>
      </c>
      <c r="K24" s="2545" t="s">
        <v>1771</v>
      </c>
      <c r="L24" s="2546" t="s">
        <v>1744</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1772</v>
      </c>
      <c r="E25" s="1982"/>
      <c r="F25" s="56"/>
      <c r="G25" s="1592"/>
      <c r="H25" s="1830" t="s">
        <v>1773</v>
      </c>
      <c r="I25" s="3010" t="s">
        <v>2819</v>
      </c>
      <c r="J25" s="792">
        <f ca="1">J5-J16</f>
        <v>-164</v>
      </c>
      <c r="K25" s="2548" t="s">
        <v>1774</v>
      </c>
      <c r="L25" s="2549"/>
      <c r="M25" s="2550"/>
    </row>
    <row r="26" spans="1:33" ht="18" customHeight="1">
      <c r="A26" s="1648" t="s">
        <v>1828</v>
      </c>
      <c r="B26" s="784" t="s">
        <v>2436</v>
      </c>
      <c r="C26" s="53">
        <f ca="1">ROUND((C19+C20)*F26,0)</f>
        <v>71</v>
      </c>
      <c r="D26" s="812" t="s">
        <v>1775</v>
      </c>
      <c r="E26" s="795" t="s">
        <v>1776</v>
      </c>
      <c r="F26" s="794">
        <f ca="1">INDIRECT("'数据-取费表'!q"&amp;$G$1)</f>
        <v>0.05</v>
      </c>
      <c r="G26" s="1592"/>
      <c r="H26" s="2502" t="s">
        <v>1777</v>
      </c>
      <c r="I26" s="2232" t="s">
        <v>2824</v>
      </c>
      <c r="J26" s="783">
        <f ca="1">IF(J5&lt;&gt;0,ROUND(J25*(1-((1+M28)/(1+M26))^M27)/(M26-M28),0),0)</f>
        <v>0</v>
      </c>
      <c r="K26" s="814" t="s">
        <v>1778</v>
      </c>
      <c r="L26" s="784" t="s">
        <v>2417</v>
      </c>
      <c r="M26" s="794">
        <f ca="1">INDIRECT("'数据-取费表'!I"&amp;$G$1)</f>
        <v>0.05</v>
      </c>
    </row>
    <row r="27" spans="1:33" ht="18" customHeight="1">
      <c r="A27" s="1648" t="s">
        <v>1829</v>
      </c>
      <c r="B27" s="784" t="s">
        <v>682</v>
      </c>
      <c r="C27" s="53">
        <f ca="1">ROUND(F21*F26,4)</f>
        <v>5.0000000000000001E-4</v>
      </c>
      <c r="D27" s="812" t="s">
        <v>1779</v>
      </c>
      <c r="E27" s="806"/>
      <c r="F27" s="807"/>
      <c r="G27" s="1592"/>
      <c r="H27" s="2503"/>
      <c r="I27" s="787"/>
      <c r="J27" s="788"/>
      <c r="K27" s="821" t="s">
        <v>1780</v>
      </c>
      <c r="L27" s="784" t="s">
        <v>1781</v>
      </c>
      <c r="M27" s="822">
        <f ca="1">INDIRECT("'数据-取费表'!ag"&amp;$G$1)</f>
        <v>0</v>
      </c>
    </row>
    <row r="28" spans="1:33" s="2064" customFormat="1" ht="18" customHeight="1">
      <c r="A28" s="1650" t="s">
        <v>1838</v>
      </c>
      <c r="B28" s="784" t="s">
        <v>683</v>
      </c>
      <c r="C28" s="53">
        <f>ROUND(F28/(1+'数据-取费表'!C42),4)</f>
        <v>5.2400000000000002E-2</v>
      </c>
      <c r="D28" s="812" t="s">
        <v>2297</v>
      </c>
      <c r="E28" s="784" t="s">
        <v>1782</v>
      </c>
      <c r="F28" s="809">
        <f>'数据-取费表'!B41</f>
        <v>5.5000000000000007E-2</v>
      </c>
      <c r="G28" s="1593"/>
      <c r="H28" s="1830"/>
      <c r="I28" s="791"/>
      <c r="J28" s="792"/>
      <c r="K28" s="816"/>
      <c r="L28" s="784" t="s">
        <v>1783</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1656</v>
      </c>
      <c r="D29" s="2545"/>
      <c r="E29" s="2546"/>
      <c r="F29" s="2547"/>
      <c r="G29" s="1593"/>
      <c r="H29" s="823" t="s">
        <v>1784</v>
      </c>
      <c r="I29" s="824" t="s">
        <v>1785</v>
      </c>
      <c r="J29" s="825">
        <f ca="1">ROUND(J26/(1+F40)^F41,0)</f>
        <v>0</v>
      </c>
      <c r="K29" s="826" t="s">
        <v>1786</v>
      </c>
      <c r="L29" s="827"/>
      <c r="M29" s="828">
        <f ca="1">INDIRECT("'数据-取费表'!k"&amp;$G$1)</f>
        <v>5719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2">
        <f ca="1">ROUND(C31+C36+C37+C38,0)</f>
        <v>64</v>
      </c>
      <c r="D30" s="1822" t="s">
        <v>1788</v>
      </c>
      <c r="E30" s="2486"/>
      <c r="F30" s="2491"/>
      <c r="G30" s="2062"/>
      <c r="H30" s="2065"/>
      <c r="I30" s="2066"/>
      <c r="J30" s="2067"/>
      <c r="K30" s="2068"/>
      <c r="L30" s="2069"/>
      <c r="M30" s="2070"/>
    </row>
    <row r="31" spans="1:33" ht="18" customHeight="1">
      <c r="A31" s="1649" t="s">
        <v>1827</v>
      </c>
      <c r="B31" s="784" t="s">
        <v>652</v>
      </c>
      <c r="C31" s="53">
        <f ca="1">ROUND(IF(项目基本情况!B11="自然人",C5*F31,C32+C33+C34),1)</f>
        <v>34.4</v>
      </c>
      <c r="D31" s="1979" t="s">
        <v>1789</v>
      </c>
      <c r="E31" s="1977" t="s">
        <v>1790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1791</v>
      </c>
      <c r="C32" s="53">
        <f ca="1">ROUND(C5*F32/1.05,1)</f>
        <v>10.4</v>
      </c>
      <c r="D32" s="1977" t="s">
        <v>1792</v>
      </c>
      <c r="E32" s="784" t="s">
        <v>1793</v>
      </c>
      <c r="F32" s="809">
        <f>'数据-取费表'!B41</f>
        <v>5.5000000000000007E-2</v>
      </c>
      <c r="G32" s="2062"/>
      <c r="H32" s="2071"/>
      <c r="I32" s="2072"/>
      <c r="J32" s="2073"/>
      <c r="K32" s="2074"/>
      <c r="L32" s="2075"/>
      <c r="M32" s="2076"/>
    </row>
    <row r="33" spans="1:18" ht="18" customHeight="1">
      <c r="A33" s="1648" t="s">
        <v>1829</v>
      </c>
      <c r="B33" s="784" t="s">
        <v>1794</v>
      </c>
      <c r="C33" s="53">
        <f ca="1">IF(D33="按租金收入计税",ROUND(C5*F33,1),IF(D33="按房产原值计税",ROUND(C29*F33*0.7,1),INDIRECT("'数据-取费表'!Aj"&amp;$G$1)))</f>
        <v>23.8</v>
      </c>
      <c r="D33" s="811" t="s">
        <v>3123</v>
      </c>
      <c r="E33" s="784" t="s">
        <v>1793</v>
      </c>
      <c r="F33" s="809">
        <f>IF(D33="按租金收入计税",'数据-取费表'!B51,'数据-取费表'!B50)</f>
        <v>0.12</v>
      </c>
      <c r="G33" s="2062"/>
      <c r="H33" s="2077"/>
      <c r="I33" s="2077"/>
      <c r="J33" s="2077"/>
      <c r="K33" s="2078"/>
      <c r="L33" s="2077"/>
      <c r="M33" s="2077"/>
    </row>
    <row r="34" spans="1:18" ht="18" customHeight="1">
      <c r="A34" s="1651" t="s">
        <v>1830</v>
      </c>
      <c r="B34" s="341" t="s">
        <v>1795</v>
      </c>
      <c r="C34" s="54">
        <f ca="1">ROUND(F34*F35/10000,1)</f>
        <v>0.2</v>
      </c>
      <c r="D34" s="814" t="s">
        <v>1796</v>
      </c>
      <c r="E34" s="784" t="s">
        <v>1797</v>
      </c>
      <c r="F34" s="640">
        <f>'数据-取费表'!B52</f>
        <v>1.5</v>
      </c>
      <c r="G34" s="2062"/>
      <c r="H34" s="2065"/>
      <c r="I34" s="835" t="s">
        <v>1810</v>
      </c>
      <c r="J34" s="836"/>
      <c r="K34" s="2080"/>
      <c r="L34" s="2079"/>
      <c r="M34" s="2079"/>
    </row>
    <row r="35" spans="1:18" ht="18" customHeight="1">
      <c r="A35" s="815"/>
      <c r="B35" s="793"/>
      <c r="C35" s="69"/>
      <c r="D35" s="816"/>
      <c r="E35" s="784" t="s">
        <v>1798</v>
      </c>
      <c r="F35" s="785">
        <f ca="1">INDIRECT("'数据-取费表'!r"&amp;$G$1)</f>
        <v>1548.53</v>
      </c>
      <c r="G35" s="2062"/>
      <c r="H35" s="2065"/>
      <c r="I35" s="837" t="s">
        <v>1811</v>
      </c>
      <c r="J35" s="838">
        <f ca="1">ROUND(C13*J36,0)</f>
        <v>132</v>
      </c>
      <c r="K35" s="2078"/>
      <c r="L35" s="2077"/>
      <c r="M35" s="2077"/>
    </row>
    <row r="36" spans="1:18" ht="18" customHeight="1">
      <c r="A36" s="1649" t="s">
        <v>1886</v>
      </c>
      <c r="B36" s="784" t="s">
        <v>1799</v>
      </c>
      <c r="C36" s="53">
        <f ca="1">ROUND(C29*F36,1)</f>
        <v>24.8</v>
      </c>
      <c r="D36" s="1977" t="s">
        <v>1800</v>
      </c>
      <c r="E36" s="784" t="s">
        <v>1793</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2.5</v>
      </c>
      <c r="D37" s="1977" t="s">
        <v>1801</v>
      </c>
      <c r="E37" s="784" t="s">
        <v>1793</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v>
      </c>
      <c r="D38" s="2545" t="s">
        <v>1802</v>
      </c>
      <c r="E38" s="2546" t="s">
        <v>1793</v>
      </c>
      <c r="F38" s="2542">
        <f ca="1">INDIRECT("'数据-取费表'!Am"&amp;$G$1)</f>
        <v>0.01</v>
      </c>
      <c r="G38" s="2062"/>
      <c r="H38" s="2077"/>
      <c r="I38" s="843" t="s">
        <v>1814</v>
      </c>
      <c r="J38" s="844"/>
      <c r="K38" s="2083"/>
      <c r="L38" s="2077"/>
      <c r="M38" s="2077"/>
    </row>
    <row r="39" spans="1:18" ht="24.6" customHeight="1" thickTop="1">
      <c r="A39" s="1830" t="s">
        <v>1891</v>
      </c>
      <c r="B39" s="3010" t="s">
        <v>2819</v>
      </c>
      <c r="C39" s="792">
        <f ca="1">C5-C30</f>
        <v>134</v>
      </c>
      <c r="D39" s="2548" t="s">
        <v>1803</v>
      </c>
      <c r="E39" s="2549"/>
      <c r="F39" s="2550"/>
      <c r="G39" s="2062"/>
      <c r="H39" s="2077"/>
      <c r="I39" s="837" t="s">
        <v>1815</v>
      </c>
      <c r="J39" s="845">
        <f ca="1">ROUND(J35/C39,3)</f>
        <v>0.98499999999999999</v>
      </c>
      <c r="K39" s="2083"/>
      <c r="L39" s="2077"/>
      <c r="M39" s="2077"/>
    </row>
    <row r="40" spans="1:18" ht="18" customHeight="1">
      <c r="A40" s="781" t="s">
        <v>1892</v>
      </c>
      <c r="B40" s="2232" t="s">
        <v>2299</v>
      </c>
      <c r="C40" s="783">
        <f ca="1">ROUND(C39*(1-((1+F42)/(1+F40))^F41)/(F40-F42),0)</f>
        <v>2414</v>
      </c>
      <c r="D40" s="814" t="s">
        <v>1804</v>
      </c>
      <c r="E40" s="784" t="s">
        <v>2417</v>
      </c>
      <c r="F40" s="794">
        <f ca="1">INDIRECT("'数据-取费表'!I"&amp;$G$1)</f>
        <v>0.05</v>
      </c>
      <c r="G40" s="2062"/>
      <c r="H40" s="2062"/>
      <c r="I40" s="837" t="s">
        <v>1816</v>
      </c>
      <c r="J40" s="845">
        <f ca="1">1-J39</f>
        <v>1.5000000000000013E-2</v>
      </c>
      <c r="K40" s="2083"/>
      <c r="L40" s="2062"/>
      <c r="M40" s="2062"/>
    </row>
    <row r="41" spans="1:18" ht="18" customHeight="1">
      <c r="A41" s="786"/>
      <c r="B41" s="787"/>
      <c r="C41" s="788"/>
      <c r="D41" s="821" t="s">
        <v>1805</v>
      </c>
      <c r="E41" s="784" t="s">
        <v>2956</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1806</v>
      </c>
      <c r="F42" s="794">
        <f ca="1">INDIRECT("'数据-取费表'!v"&amp;$G$1)</f>
        <v>0</v>
      </c>
      <c r="G42" s="2062"/>
      <c r="H42" s="1988"/>
      <c r="I42" s="847" t="s">
        <v>1818</v>
      </c>
      <c r="J42" s="845">
        <f ca="1">ROUND(C13/C40,3)</f>
        <v>0.68600000000000005</v>
      </c>
      <c r="K42" s="2082"/>
      <c r="L42" s="1988"/>
      <c r="M42" s="1988"/>
    </row>
    <row r="43" spans="1:18" ht="18" customHeight="1" thickBot="1">
      <c r="A43" s="823" t="s">
        <v>1784</v>
      </c>
      <c r="B43" s="824" t="s">
        <v>1807</v>
      </c>
      <c r="C43" s="825">
        <f ca="1">ROUND(C40*10000/F43,0)</f>
        <v>4221</v>
      </c>
      <c r="D43" s="826" t="s">
        <v>1808</v>
      </c>
      <c r="E43" s="827" t="s">
        <v>1809</v>
      </c>
      <c r="F43" s="828">
        <f ca="1">INDIRECT("'数据-取费表'!k"&amp;$G$1)</f>
        <v>5719</v>
      </c>
      <c r="G43" s="2062"/>
      <c r="H43" s="1988"/>
      <c r="I43" s="847" t="s">
        <v>1819</v>
      </c>
      <c r="J43" s="848">
        <f ca="1">1-J42</f>
        <v>0.31399999999999995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-2918</v>
      </c>
      <c r="D46" s="2085"/>
      <c r="E46" s="2085"/>
      <c r="F46" s="2085"/>
      <c r="I46" s="2378" t="s">
        <v>2341</v>
      </c>
      <c r="J46" s="2379"/>
      <c r="K46" s="2380"/>
      <c r="L46" s="3157">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7" t="s">
        <v>2342</v>
      </c>
      <c r="J47" s="2381" t="s">
        <v>3122</v>
      </c>
      <c r="K47" s="3154" t="s">
        <v>2347</v>
      </c>
      <c r="L47" s="3158">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632</v>
      </c>
      <c r="E48" s="2376" t="s">
        <v>2294</v>
      </c>
      <c r="F48" s="2377"/>
      <c r="G48" s="2090"/>
      <c r="I48" s="3123" t="s">
        <v>2343</v>
      </c>
      <c r="J48" s="2382" t="s">
        <v>2348</v>
      </c>
      <c r="K48" s="3155" t="s">
        <v>2349</v>
      </c>
      <c r="L48" s="1908">
        <f ca="1">INDIRECT("'数据-取费表'!f"&amp;$G$1)</f>
        <v>49.36</v>
      </c>
      <c r="O48" s="2398" t="s">
        <v>2377</v>
      </c>
      <c r="P48" s="2399" t="s">
        <v>2403</v>
      </c>
      <c r="Q48" s="2400">
        <f ca="1">C40+J29</f>
        <v>2414</v>
      </c>
      <c r="R48" s="2399" t="s">
        <v>2378</v>
      </c>
    </row>
    <row r="49" spans="1:18" s="2059" customFormat="1" ht="18" customHeight="1" thickBot="1">
      <c r="A49" s="786"/>
      <c r="B49" s="787"/>
      <c r="C49" s="788"/>
      <c r="D49" s="789"/>
      <c r="E49" s="784" t="s">
        <v>1736</v>
      </c>
      <c r="F49" s="785">
        <f ca="1">F7</f>
        <v>5719</v>
      </c>
      <c r="G49" s="2090"/>
      <c r="H49" s="2093"/>
      <c r="I49" s="3123" t="s">
        <v>2344</v>
      </c>
      <c r="J49" s="2383"/>
      <c r="K49" s="3156" t="s">
        <v>2350</v>
      </c>
      <c r="L49" s="2384"/>
      <c r="O49" s="2398" t="s">
        <v>2379</v>
      </c>
      <c r="P49" s="2399" t="s">
        <v>2404</v>
      </c>
      <c r="Q49" s="2400" t="str">
        <f ca="1">J60</f>
        <v>0</v>
      </c>
      <c r="R49" s="2399" t="s">
        <v>2380</v>
      </c>
    </row>
    <row r="50" spans="1:18" s="2059" customFormat="1" ht="18" customHeight="1" thickBot="1">
      <c r="A50" s="786"/>
      <c r="B50" s="787"/>
      <c r="C50" s="788"/>
      <c r="D50" s="789"/>
      <c r="E50" s="784" t="s">
        <v>1737</v>
      </c>
      <c r="F50" s="785">
        <f ca="1">F8</f>
        <v>365</v>
      </c>
      <c r="G50" s="2095"/>
      <c r="H50" s="2093"/>
      <c r="I50" s="3123" t="s">
        <v>2345</v>
      </c>
      <c r="J50" s="3151">
        <f>SUMPRODUCT((I63:I65=J47)*(J62:L62=J48)*(J63:L65))</f>
        <v>60</v>
      </c>
      <c r="K50" s="3156" t="s">
        <v>2351</v>
      </c>
      <c r="L50" s="2384"/>
      <c r="O50" s="2401" t="s">
        <v>2381</v>
      </c>
      <c r="P50" s="2399" t="s">
        <v>2405</v>
      </c>
      <c r="Q50" s="2400">
        <f ca="1">C29</f>
        <v>1656</v>
      </c>
      <c r="R50" s="2399" t="s">
        <v>2378</v>
      </c>
    </row>
    <row r="51" spans="1:18" s="2059" customFormat="1" ht="18" customHeight="1" thickBot="1">
      <c r="A51" s="786"/>
      <c r="B51" s="787"/>
      <c r="C51" s="788"/>
      <c r="D51" s="789"/>
      <c r="E51" s="784" t="s">
        <v>636</v>
      </c>
      <c r="F51" s="2371"/>
      <c r="H51" s="2093"/>
      <c r="I51" s="3148" t="s">
        <v>2346</v>
      </c>
      <c r="J51" s="3152">
        <f>IF(J49="",J50,J49+J50-YEAR('数据-取费表'!B2))</f>
        <v>60</v>
      </c>
      <c r="K51" s="3123" t="s">
        <v>2352</v>
      </c>
      <c r="L51" s="3159">
        <f ca="1">ROUND(-PV(INDIRECT("'数据-取费表'!h"&amp;$G$1),L48,(C39-C13*J36),0),0)</f>
        <v>30</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2967</v>
      </c>
      <c r="E52" s="2498" t="s">
        <v>2462</v>
      </c>
      <c r="F52" s="2621"/>
      <c r="I52" s="3149" t="s">
        <v>2419</v>
      </c>
      <c r="J52" s="2385"/>
      <c r="K52" s="3149"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0" t="s">
        <v>2971</v>
      </c>
      <c r="J53" s="3153">
        <f ca="1">IF(M47="住宅",IF(D1="——",MAX(J51,L48),MAX(J51,L48-'数据-取费表'!B20)),IF(D1="——",MIN(J51,L48),MIN(J51,L48-'数据-取费表'!B20)))</f>
        <v>47.36</v>
      </c>
      <c r="K53" s="3459" t="s">
        <v>2958</v>
      </c>
      <c r="L53" s="3460"/>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2414</v>
      </c>
      <c r="R54" s="2403" t="s">
        <v>2390</v>
      </c>
    </row>
    <row r="55" spans="1:18" s="2059" customFormat="1" ht="18" customHeight="1" thickTop="1" thickBot="1">
      <c r="A55" s="797">
        <v>2</v>
      </c>
      <c r="B55" s="798" t="s">
        <v>640</v>
      </c>
      <c r="C55" s="799">
        <f ca="1">C13</f>
        <v>1656</v>
      </c>
      <c r="D55" s="795"/>
      <c r="E55" s="795"/>
      <c r="F55" s="800"/>
      <c r="I55" s="3162" t="s">
        <v>2353</v>
      </c>
      <c r="J55" s="3098" t="e">
        <f ca="1">ROUND(IF(J47="钢混",J57/J50,1-(1-2%)*(J50-J57)/J50),3)</f>
        <v>#VALUE!</v>
      </c>
      <c r="K55" s="3163" t="s">
        <v>2354</v>
      </c>
      <c r="L55" s="2386"/>
      <c r="O55" s="2404" t="s">
        <v>2409</v>
      </c>
      <c r="P55" s="1592"/>
      <c r="Q55" s="1604"/>
      <c r="R55" s="1592"/>
    </row>
    <row r="56" spans="1:18" s="2059" customFormat="1" ht="42.75" customHeight="1" thickBot="1">
      <c r="A56" s="1650"/>
      <c r="B56" s="2231" t="s">
        <v>2300</v>
      </c>
      <c r="C56" s="53">
        <f ca="1">C29</f>
        <v>1656</v>
      </c>
      <c r="D56" s="2639"/>
      <c r="E56" s="784"/>
      <c r="F56" s="809"/>
      <c r="I56" s="3164" t="s">
        <v>2355</v>
      </c>
      <c r="J56" s="3174" t="s">
        <v>1675</v>
      </c>
      <c r="K56" s="3123"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28</v>
      </c>
      <c r="D57" s="26" t="s">
        <v>1747</v>
      </c>
      <c r="E57" s="2640"/>
      <c r="F57" s="56"/>
      <c r="I57" s="3165" t="s">
        <v>2356</v>
      </c>
      <c r="J57" s="3166" t="str">
        <f ca="1">IF(OR(M47="住宅",J51&lt;L48,J56="是"),"——",J51-L48)</f>
        <v>——</v>
      </c>
      <c r="K57" s="3123" t="s">
        <v>2361</v>
      </c>
      <c r="L57" s="1908" t="str">
        <f ca="1">IF(L48&lt;J51,"——",IF(L55="比较法",L49,IF(L55="基准地价",L50,L51)))</f>
        <v>——</v>
      </c>
      <c r="O57" s="2398" t="s">
        <v>2377</v>
      </c>
      <c r="P57" s="2399" t="s">
        <v>2407</v>
      </c>
      <c r="Q57" s="2400">
        <f ca="1">C40+J29</f>
        <v>2414</v>
      </c>
      <c r="R57" s="2399" t="s">
        <v>2378</v>
      </c>
    </row>
    <row r="58" spans="1:18" s="2059" customFormat="1" ht="28.5" customHeight="1" thickBot="1">
      <c r="A58" s="1649" t="s">
        <v>1821</v>
      </c>
      <c r="B58" s="784" t="s">
        <v>652</v>
      </c>
      <c r="C58" s="53">
        <f ca="1">ROUND(IF(项目基本情况!B11="自然人",C47*F58,C59+C60+C61),1)</f>
        <v>0.2</v>
      </c>
      <c r="D58" s="2638" t="s">
        <v>653</v>
      </c>
      <c r="E58" s="2639" t="s">
        <v>686</v>
      </c>
      <c r="F58" s="810" t="str">
        <f ca="1">IF(项目基本情况!B11="企业","",IF(INDIRECT("'数据-取费表'!c"&amp;$G$1)="住宅",5%,IF(F48*F49*F50/12/(1+'数据-取费表'!C42)&gt;20000,12%,7%)))</f>
        <v/>
      </c>
      <c r="I58" s="3165" t="s">
        <v>2357</v>
      </c>
      <c r="J58" s="3099" t="e">
        <f ca="1">IF(J55&lt;0.4,0.4,J55)</f>
        <v>#VALUE!</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2639" t="s">
        <v>1753</v>
      </c>
      <c r="E59" s="784" t="s">
        <v>1744</v>
      </c>
      <c r="F59" s="809">
        <f t="shared" ref="F59:F65" si="0">F32</f>
        <v>5.5000000000000007E-2</v>
      </c>
      <c r="I59" s="3165" t="s">
        <v>2358</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1755</v>
      </c>
      <c r="C60" s="53">
        <f ca="1">IF(D60="按租金收入计税",ROUND(C47*F60,1),IF(D60="按房产原值计税",ROUND(C56*F60*0.7,1),INDIRECT("'数据-取费表'!Aj"&amp;$G$1)))</f>
        <v>0</v>
      </c>
      <c r="D60" s="2639" t="str">
        <f>D33</f>
        <v>按租金收入计税</v>
      </c>
      <c r="E60" s="784" t="s">
        <v>1744</v>
      </c>
      <c r="F60" s="809">
        <f t="shared" si="0"/>
        <v>0.12</v>
      </c>
      <c r="I60" s="3167" t="s">
        <v>2359</v>
      </c>
      <c r="J60" s="3168" t="str">
        <f ca="1">IF(OR(M47="住宅",J51&lt;L48,J56="是"),"0",ROUND(J59/(1+J52)^J53,0))</f>
        <v>0</v>
      </c>
      <c r="K60" s="3169" t="s">
        <v>2364</v>
      </c>
      <c r="L60" s="3168">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0.2</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1548.53</v>
      </c>
      <c r="I62" s="3170" t="s">
        <v>2365</v>
      </c>
      <c r="J62" s="3171" t="s">
        <v>2366</v>
      </c>
      <c r="K62" s="3171" t="s">
        <v>2367</v>
      </c>
      <c r="L62" s="3171" t="s">
        <v>2348</v>
      </c>
      <c r="M62" s="3172" t="s">
        <v>2934</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24.8</v>
      </c>
      <c r="D63" s="2639" t="s">
        <v>1800</v>
      </c>
      <c r="E63" s="784" t="s">
        <v>1744</v>
      </c>
      <c r="F63" s="817">
        <f t="shared" ca="1" si="0"/>
        <v>1.4999999999999999E-2</v>
      </c>
      <c r="I63" s="3170" t="s">
        <v>2368</v>
      </c>
      <c r="J63" s="3171">
        <v>70</v>
      </c>
      <c r="K63" s="3171">
        <v>50</v>
      </c>
      <c r="L63" s="3171">
        <v>80</v>
      </c>
      <c r="M63" s="3173">
        <v>0.02</v>
      </c>
      <c r="O63" s="2398" t="s">
        <v>2389</v>
      </c>
      <c r="P63" s="2399" t="s">
        <v>2406</v>
      </c>
      <c r="Q63" s="2400">
        <f ca="1">Q57+Q58</f>
        <v>2414</v>
      </c>
      <c r="R63" s="2403" t="s">
        <v>2390</v>
      </c>
    </row>
    <row r="64" spans="1:18" s="2059" customFormat="1" ht="16.5" thickBot="1">
      <c r="A64" s="1649" t="s">
        <v>1887</v>
      </c>
      <c r="B64" s="784" t="s">
        <v>675</v>
      </c>
      <c r="C64" s="53">
        <f ca="1">ROUND(C55*F64,1)</f>
        <v>2.5</v>
      </c>
      <c r="D64" s="2639" t="s">
        <v>676</v>
      </c>
      <c r="E64" s="784" t="s">
        <v>1744</v>
      </c>
      <c r="F64" s="818">
        <f t="shared" ca="1" si="0"/>
        <v>1.5E-3</v>
      </c>
      <c r="I64" s="3170" t="s">
        <v>2369</v>
      </c>
      <c r="J64" s="3171">
        <v>50</v>
      </c>
      <c r="K64" s="3171">
        <v>35</v>
      </c>
      <c r="L64" s="3171">
        <v>60</v>
      </c>
      <c r="M64" s="846">
        <v>0</v>
      </c>
      <c r="O64" s="2404" t="s">
        <v>2413</v>
      </c>
      <c r="P64" s="1592"/>
      <c r="Q64" s="1604"/>
      <c r="R64" s="1592"/>
    </row>
    <row r="65" spans="1:18" s="2059" customFormat="1" ht="15.75" thickBot="1">
      <c r="A65" s="1649" t="s">
        <v>1888</v>
      </c>
      <c r="B65" s="784" t="s">
        <v>662</v>
      </c>
      <c r="C65" s="53">
        <f ca="1">ROUND(C47*F65,1)</f>
        <v>0</v>
      </c>
      <c r="D65" s="2639" t="s">
        <v>679</v>
      </c>
      <c r="E65" s="784" t="s">
        <v>1744</v>
      </c>
      <c r="F65" s="794">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7" t="s">
        <v>1773</v>
      </c>
      <c r="B66" s="3011" t="s">
        <v>2819</v>
      </c>
      <c r="C66" s="799">
        <f ca="1">C47-C57</f>
        <v>-28</v>
      </c>
      <c r="D66" s="2638" t="s">
        <v>696</v>
      </c>
      <c r="E66" s="2637"/>
      <c r="F66" s="820"/>
      <c r="K66" s="2086"/>
      <c r="O66" s="2398" t="s">
        <v>2377</v>
      </c>
      <c r="P66" s="2399" t="s">
        <v>2407</v>
      </c>
      <c r="Q66" s="2400">
        <f ca="1">C40+J29</f>
        <v>2414</v>
      </c>
      <c r="R66" s="2399" t="s">
        <v>2378</v>
      </c>
    </row>
    <row r="67" spans="1:18" s="2059" customFormat="1" ht="20.25" thickBot="1">
      <c r="A67" s="781" t="s">
        <v>1777</v>
      </c>
      <c r="B67" s="2232" t="s">
        <v>2299</v>
      </c>
      <c r="C67" s="783">
        <f ca="1">ROUND(C66*(1-((1+F69)/(1+F67))^F68)/(F67-F69),0)</f>
        <v>-504</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1781</v>
      </c>
      <c r="F68" s="822">
        <f ca="1">F41</f>
        <v>47.36</v>
      </c>
      <c r="O68" s="2401" t="s">
        <v>2381</v>
      </c>
      <c r="P68" s="2399" t="s">
        <v>2411</v>
      </c>
      <c r="Q68" s="2405">
        <f ca="1">L51</f>
        <v>30</v>
      </c>
      <c r="R68" s="2406" t="s">
        <v>2414</v>
      </c>
    </row>
    <row r="69" spans="1:18" ht="20.25" thickBot="1">
      <c r="A69" s="790"/>
      <c r="B69" s="791"/>
      <c r="C69" s="792"/>
      <c r="D69" s="816"/>
      <c r="E69" s="784" t="s">
        <v>706</v>
      </c>
      <c r="F69" s="2371"/>
      <c r="O69" s="2401" t="s">
        <v>2382</v>
      </c>
      <c r="P69" s="2407" t="s">
        <v>2396</v>
      </c>
      <c r="Q69" s="2400">
        <f ca="1">ROUND(Q70-Q71*Q72,0)</f>
        <v>2</v>
      </c>
      <c r="R69" s="2403"/>
    </row>
    <row r="70" spans="1:18" ht="15.75" thickBot="1">
      <c r="A70" s="823" t="s">
        <v>1784</v>
      </c>
      <c r="B70" s="824" t="s">
        <v>1807</v>
      </c>
      <c r="C70" s="825">
        <f ca="1">ROUND(C67*10000/F70,0)</f>
        <v>-881</v>
      </c>
      <c r="D70" s="826" t="s">
        <v>1808</v>
      </c>
      <c r="E70" s="827" t="s">
        <v>1809</v>
      </c>
      <c r="F70" s="828">
        <f ca="1">F43</f>
        <v>5719</v>
      </c>
      <c r="O70" s="2401" t="s">
        <v>2397</v>
      </c>
      <c r="P70" s="2407" t="s">
        <v>2398</v>
      </c>
      <c r="Q70" s="2400">
        <f ca="1">C39</f>
        <v>134</v>
      </c>
      <c r="R70" s="2399" t="s">
        <v>2378</v>
      </c>
    </row>
    <row r="71" spans="1:18" ht="15.75" thickBot="1">
      <c r="O71" s="2401" t="s">
        <v>2399</v>
      </c>
      <c r="P71" s="2407" t="s">
        <v>2400</v>
      </c>
      <c r="Q71" s="2400">
        <f ca="1">C13</f>
        <v>1656</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2414</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conditionalFormatting sqref="C11">
    <cfRule type="expression" dxfId="101" priority="4">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7" t="s">
        <v>2469</v>
      </c>
      <c r="B1" s="3478"/>
      <c r="C1" s="3479"/>
      <c r="D1" s="3480">
        <f>SUM(I10,I15,I20,I21,I23)</f>
        <v>0</v>
      </c>
      <c r="E1" s="3480"/>
      <c r="F1" s="3480"/>
      <c r="G1" s="3480"/>
      <c r="H1" s="3480"/>
      <c r="I1" s="3481"/>
    </row>
    <row r="2" spans="1:9">
      <c r="A2" s="3467" t="s">
        <v>2470</v>
      </c>
      <c r="B2" s="3468" t="s">
        <v>2471</v>
      </c>
      <c r="C2" s="3468"/>
      <c r="D2" s="2507" t="s">
        <v>2472</v>
      </c>
      <c r="E2" s="2507" t="s">
        <v>2473</v>
      </c>
      <c r="F2" s="2507" t="s">
        <v>2474</v>
      </c>
      <c r="G2" s="2507" t="s">
        <v>2475</v>
      </c>
      <c r="H2" s="2507" t="s">
        <v>2476</v>
      </c>
      <c r="I2" s="2508" t="s">
        <v>2477</v>
      </c>
    </row>
    <row r="3" spans="1:9">
      <c r="A3" s="3467"/>
      <c r="B3" s="3468" t="s">
        <v>2478</v>
      </c>
      <c r="C3" s="3468"/>
      <c r="D3" s="2509"/>
      <c r="E3" s="2507"/>
      <c r="F3" s="2510"/>
      <c r="G3" s="2510"/>
      <c r="H3" s="2511"/>
      <c r="I3" s="2512">
        <f>ROUND(D3*E3*F3*G3*H3/10000,0)</f>
        <v>0</v>
      </c>
    </row>
    <row r="4" spans="1:9">
      <c r="A4" s="3467"/>
      <c r="B4" s="3468" t="s">
        <v>2479</v>
      </c>
      <c r="C4" s="3468"/>
      <c r="D4" s="2509"/>
      <c r="E4" s="2507"/>
      <c r="F4" s="2510"/>
      <c r="G4" s="2510"/>
      <c r="H4" s="2511"/>
      <c r="I4" s="2512">
        <f t="shared" ref="I4:I9" si="0">ROUND(D4*E4*F4*G4*H4/10000,0)</f>
        <v>0</v>
      </c>
    </row>
    <row r="5" spans="1:9">
      <c r="A5" s="3467"/>
      <c r="B5" s="3468" t="s">
        <v>2480</v>
      </c>
      <c r="C5" s="3468"/>
      <c r="D5" s="2509"/>
      <c r="E5" s="2507"/>
      <c r="F5" s="2510"/>
      <c r="G5" s="2510"/>
      <c r="H5" s="2511"/>
      <c r="I5" s="2512">
        <f t="shared" si="0"/>
        <v>0</v>
      </c>
    </row>
    <row r="6" spans="1:9">
      <c r="A6" s="3467"/>
      <c r="B6" s="3468" t="s">
        <v>2481</v>
      </c>
      <c r="C6" s="3468"/>
      <c r="D6" s="2509"/>
      <c r="E6" s="2507"/>
      <c r="F6" s="2510"/>
      <c r="G6" s="2510"/>
      <c r="H6" s="2511"/>
      <c r="I6" s="2512">
        <f t="shared" si="0"/>
        <v>0</v>
      </c>
    </row>
    <row r="7" spans="1:9">
      <c r="A7" s="3467"/>
      <c r="B7" s="3468" t="s">
        <v>2482</v>
      </c>
      <c r="C7" s="3468"/>
      <c r="D7" s="2509"/>
      <c r="E7" s="2507"/>
      <c r="F7" s="2510"/>
      <c r="G7" s="2510"/>
      <c r="H7" s="2511"/>
      <c r="I7" s="2512">
        <f t="shared" si="0"/>
        <v>0</v>
      </c>
    </row>
    <row r="8" spans="1:9">
      <c r="A8" s="3467"/>
      <c r="B8" s="3468" t="s">
        <v>2483</v>
      </c>
      <c r="C8" s="3468"/>
      <c r="D8" s="2509"/>
      <c r="E8" s="2507"/>
      <c r="F8" s="2510"/>
      <c r="G8" s="2510"/>
      <c r="H8" s="2511"/>
      <c r="I8" s="2512">
        <f t="shared" si="0"/>
        <v>0</v>
      </c>
    </row>
    <row r="9" spans="1:9">
      <c r="A9" s="3467"/>
      <c r="B9" s="3468" t="s">
        <v>2484</v>
      </c>
      <c r="C9" s="3468"/>
      <c r="D9" s="2509"/>
      <c r="E9" s="2507"/>
      <c r="F9" s="2510"/>
      <c r="G9" s="2510"/>
      <c r="H9" s="2511"/>
      <c r="I9" s="2512">
        <f t="shared" si="0"/>
        <v>0</v>
      </c>
    </row>
    <row r="10" spans="1:9">
      <c r="A10" s="3467"/>
      <c r="B10" s="3469" t="s">
        <v>2485</v>
      </c>
      <c r="C10" s="3469"/>
      <c r="D10" s="2513">
        <v>527</v>
      </c>
      <c r="E10" s="2513" t="e">
        <f>ROUND(D1*10000/D10/H9,0)</f>
        <v>#DIV/0!</v>
      </c>
      <c r="F10" s="2514"/>
      <c r="G10" s="2514"/>
      <c r="H10" s="2515"/>
      <c r="I10" s="2516">
        <f>SUM(I3:I9)</f>
        <v>0</v>
      </c>
    </row>
    <row r="11" spans="1:9" ht="14.25">
      <c r="A11" s="3467" t="s">
        <v>2486</v>
      </c>
      <c r="B11" s="3468" t="s">
        <v>2487</v>
      </c>
      <c r="C11" s="3468"/>
      <c r="D11" s="2509" t="s">
        <v>2488</v>
      </c>
      <c r="E11" s="2509" t="s">
        <v>2489</v>
      </c>
      <c r="F11" s="2510" t="s">
        <v>2490</v>
      </c>
      <c r="G11" s="2510" t="s">
        <v>2491</v>
      </c>
      <c r="H11" s="2517" t="s">
        <v>2492</v>
      </c>
      <c r="I11" s="2508" t="s">
        <v>2493</v>
      </c>
    </row>
    <row r="12" spans="1:9">
      <c r="A12" s="3467"/>
      <c r="B12" s="3468" t="s">
        <v>2494</v>
      </c>
      <c r="C12" s="3468"/>
      <c r="D12" s="2509"/>
      <c r="E12" s="2509"/>
      <c r="F12" s="2510"/>
      <c r="G12" s="2511"/>
      <c r="H12" s="2518"/>
      <c r="I12" s="2508">
        <f>ROUND(D12*E12*F12*G12/10000,0)</f>
        <v>0</v>
      </c>
    </row>
    <row r="13" spans="1:9">
      <c r="A13" s="3467"/>
      <c r="B13" s="3468" t="s">
        <v>2495</v>
      </c>
      <c r="C13" s="3468"/>
      <c r="D13" s="2509"/>
      <c r="E13" s="2509"/>
      <c r="F13" s="2510"/>
      <c r="G13" s="2511"/>
      <c r="H13" s="2518"/>
      <c r="I13" s="2508">
        <f>ROUND(D13*E13*F13*G13/10000,0)</f>
        <v>0</v>
      </c>
    </row>
    <row r="14" spans="1:9">
      <c r="A14" s="3467"/>
      <c r="B14" s="3468" t="s">
        <v>2496</v>
      </c>
      <c r="C14" s="3468"/>
      <c r="D14" s="2509"/>
      <c r="E14" s="2509"/>
      <c r="F14" s="2510"/>
      <c r="G14" s="2511"/>
      <c r="H14" s="2518"/>
      <c r="I14" s="2508">
        <f>ROUND(D14*E14*F14*G14/10000,0)</f>
        <v>0</v>
      </c>
    </row>
    <row r="15" spans="1:9">
      <c r="A15" s="3467"/>
      <c r="B15" s="3469" t="s">
        <v>2485</v>
      </c>
      <c r="C15" s="3469"/>
      <c r="D15" s="2513"/>
      <c r="E15" s="2513">
        <f>SUM(E12:E14)</f>
        <v>0</v>
      </c>
      <c r="F15" s="2514"/>
      <c r="G15" s="2511"/>
      <c r="H15" s="2518"/>
      <c r="I15" s="2519">
        <f>SUM(I12:I14)</f>
        <v>0</v>
      </c>
    </row>
    <row r="16" spans="1:9" ht="24">
      <c r="A16" s="3467" t="s">
        <v>2497</v>
      </c>
      <c r="B16" s="3468" t="s">
        <v>2498</v>
      </c>
      <c r="C16" s="3468"/>
      <c r="D16" s="2509" t="s">
        <v>2499</v>
      </c>
      <c r="E16" s="2520" t="s">
        <v>2500</v>
      </c>
      <c r="F16" s="2510" t="s">
        <v>2501</v>
      </c>
      <c r="G16" s="2511" t="s">
        <v>2491</v>
      </c>
      <c r="H16" s="2517" t="s">
        <v>2492</v>
      </c>
      <c r="I16" s="2508" t="s">
        <v>2493</v>
      </c>
    </row>
    <row r="17" spans="1:9" ht="14.25">
      <c r="A17" s="3467"/>
      <c r="B17" s="3468" t="s">
        <v>2502</v>
      </c>
      <c r="C17" s="3468"/>
      <c r="D17" s="2509"/>
      <c r="E17" s="2509"/>
      <c r="F17" s="2510"/>
      <c r="G17" s="2511"/>
      <c r="H17" s="2521"/>
      <c r="I17" s="2522">
        <f>ROUND(D17*E17*F17*G17/10000,0)</f>
        <v>0</v>
      </c>
    </row>
    <row r="18" spans="1:9" ht="14.25">
      <c r="A18" s="3467"/>
      <c r="B18" s="3468" t="s">
        <v>2503</v>
      </c>
      <c r="C18" s="3468"/>
      <c r="D18" s="2509"/>
      <c r="E18" s="2509"/>
      <c r="F18" s="2510"/>
      <c r="G18" s="2511"/>
      <c r="H18" s="2521"/>
      <c r="I18" s="2522">
        <f>ROUND(D18*E18*F18*G18/10000,0)</f>
        <v>0</v>
      </c>
    </row>
    <row r="19" spans="1:9" ht="14.25">
      <c r="A19" s="3467"/>
      <c r="B19" s="3468" t="s">
        <v>2504</v>
      </c>
      <c r="C19" s="3468"/>
      <c r="D19" s="2509"/>
      <c r="E19" s="2509"/>
      <c r="F19" s="2510"/>
      <c r="G19" s="2511"/>
      <c r="H19" s="2521"/>
      <c r="I19" s="2522">
        <f>ROUND(D19*E19*F19*G19/10000,0)</f>
        <v>0</v>
      </c>
    </row>
    <row r="20" spans="1:9">
      <c r="A20" s="3467"/>
      <c r="B20" s="3469" t="s">
        <v>2485</v>
      </c>
      <c r="C20" s="3469"/>
      <c r="D20" s="2513">
        <f>SUM(D17:D19)</f>
        <v>0</v>
      </c>
      <c r="E20" s="2513"/>
      <c r="F20" s="2514"/>
      <c r="G20" s="2511"/>
      <c r="H20" s="2518"/>
      <c r="I20" s="2519">
        <f>SUM(I17:I19)</f>
        <v>0</v>
      </c>
    </row>
    <row r="21" spans="1:9">
      <c r="A21" s="3467" t="s">
        <v>2505</v>
      </c>
      <c r="B21" s="3470"/>
      <c r="C21" s="3470"/>
      <c r="D21" s="3470"/>
      <c r="E21" s="3470"/>
      <c r="F21" s="3470"/>
      <c r="G21" s="3470"/>
      <c r="H21" s="2523">
        <v>0.1</v>
      </c>
      <c r="I21" s="2516">
        <f>ROUND(I10*H21,0)</f>
        <v>0</v>
      </c>
    </row>
    <row r="22" spans="1:9" ht="14.25">
      <c r="A22" s="3471" t="s">
        <v>2506</v>
      </c>
      <c r="B22" s="3472"/>
      <c r="C22" s="3473"/>
      <c r="D22" s="2524" t="s">
        <v>2507</v>
      </c>
      <c r="E22" s="2524" t="s">
        <v>2508</v>
      </c>
      <c r="F22" s="2525" t="s">
        <v>2509</v>
      </c>
      <c r="G22" s="2525" t="s">
        <v>2510</v>
      </c>
      <c r="H22" s="2517" t="s">
        <v>2511</v>
      </c>
      <c r="I22" s="2508" t="s">
        <v>2512</v>
      </c>
    </row>
    <row r="23" spans="1:9" ht="14.25" thickBot="1">
      <c r="A23" s="3474"/>
      <c r="B23" s="3475"/>
      <c r="C23" s="3476"/>
      <c r="D23" s="2526"/>
      <c r="E23" s="2526"/>
      <c r="F23" s="2526"/>
      <c r="G23" s="2527"/>
      <c r="H23" s="2528"/>
      <c r="I23" s="2529">
        <f>ROUND(E23*D23*F23*(1-G23)/10000,0)</f>
        <v>0</v>
      </c>
    </row>
    <row r="26" spans="1:9">
      <c r="A26" s="2530" t="s">
        <v>2513</v>
      </c>
      <c r="B26" s="2530"/>
      <c r="C26" s="2530"/>
      <c r="D26" s="2530"/>
      <c r="E26" s="3464">
        <f>C27-C30-C31-C32</f>
        <v>0</v>
      </c>
      <c r="F26" s="3464"/>
      <c r="G26" s="3464"/>
      <c r="H26" s="3042" t="s">
        <v>2840</v>
      </c>
    </row>
    <row r="27" spans="1:9">
      <c r="A27" s="2531">
        <v>1</v>
      </c>
      <c r="B27" s="2532" t="s">
        <v>2514</v>
      </c>
      <c r="C27" s="2532"/>
      <c r="D27" s="2532"/>
      <c r="E27" s="3465"/>
      <c r="F27" s="3465"/>
      <c r="G27" s="3465"/>
    </row>
    <row r="28" spans="1:9">
      <c r="A28" s="2533" t="s">
        <v>2515</v>
      </c>
      <c r="B28" s="2532" t="s">
        <v>2516</v>
      </c>
      <c r="C28" s="2532"/>
      <c r="D28" s="2532"/>
      <c r="E28" s="3465"/>
      <c r="F28" s="3465"/>
      <c r="G28" s="3465"/>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66"/>
      <c r="F32" s="3466"/>
      <c r="G32" s="3466"/>
    </row>
    <row r="33" spans="1:7" hidden="1">
      <c r="A33" s="3461" t="s">
        <v>2524</v>
      </c>
      <c r="B33" s="3462"/>
      <c r="C33" s="3462"/>
      <c r="D33" s="3463"/>
      <c r="E33" s="3464"/>
      <c r="F33" s="3464"/>
      <c r="G33" s="3464"/>
    </row>
    <row r="34" spans="1:7" hidden="1">
      <c r="A34" s="2535">
        <v>1</v>
      </c>
      <c r="B34" s="2532" t="s">
        <v>2525</v>
      </c>
      <c r="C34" s="2532"/>
      <c r="D34" s="2532"/>
      <c r="E34" s="3465"/>
      <c r="F34" s="3465"/>
      <c r="G34" s="3465"/>
    </row>
    <row r="35" spans="1:7" hidden="1">
      <c r="A35" s="2535">
        <v>2</v>
      </c>
      <c r="B35" s="2532" t="s">
        <v>2526</v>
      </c>
      <c r="C35" s="2532"/>
      <c r="D35" s="2532"/>
      <c r="E35" s="3465"/>
      <c r="F35" s="3465"/>
      <c r="G35" s="3465"/>
    </row>
    <row r="36" spans="1:7" hidden="1">
      <c r="A36" s="2535">
        <v>3</v>
      </c>
      <c r="B36" s="2532" t="s">
        <v>2527</v>
      </c>
      <c r="C36" s="2532"/>
      <c r="D36" s="2532"/>
      <c r="E36" s="3465"/>
      <c r="F36" s="3465"/>
      <c r="G36" s="3465"/>
    </row>
    <row r="37" spans="1:7" hidden="1">
      <c r="A37" s="2535">
        <v>4</v>
      </c>
      <c r="B37" s="2532" t="s">
        <v>2528</v>
      </c>
      <c r="C37" s="2532"/>
      <c r="D37" s="2532"/>
      <c r="E37" s="3465"/>
      <c r="F37" s="3465"/>
      <c r="G37" s="3465"/>
    </row>
    <row r="38" spans="1:7" hidden="1">
      <c r="A38" s="3461" t="s">
        <v>2529</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599</v>
      </c>
      <c r="B1" s="742"/>
      <c r="C1" s="2182"/>
      <c r="D1" s="2182"/>
      <c r="E1" s="2182"/>
      <c r="F1" s="2182"/>
      <c r="G1" s="2108"/>
    </row>
    <row r="2" spans="1:25" s="2059" customFormat="1" ht="18" customHeight="1">
      <c r="A2" s="423" t="s">
        <v>463</v>
      </c>
      <c r="B2" s="425">
        <f ca="1">C23</f>
        <v>0</v>
      </c>
      <c r="C2" s="2108"/>
      <c r="D2" s="2108"/>
      <c r="E2" s="2108"/>
      <c r="F2" s="2108"/>
      <c r="G2" s="2108"/>
    </row>
    <row r="3" spans="1:25" s="2059" customFormat="1" ht="18" customHeight="1">
      <c r="A3" s="1379" t="s">
        <v>1682</v>
      </c>
      <c r="B3" s="425">
        <f ca="1">ROUND(B2*10000/'数据-汇总表'!E3,0)</f>
        <v>0</v>
      </c>
      <c r="C3" s="2108"/>
      <c r="D3" s="2108"/>
      <c r="E3" s="2108"/>
      <c r="F3" s="2108"/>
      <c r="G3" s="2108"/>
    </row>
    <row r="4" spans="1:25" s="2059" customFormat="1" ht="18" customHeight="1">
      <c r="A4" s="426" t="s">
        <v>464</v>
      </c>
      <c r="B4" s="427">
        <f ca="1">ROUND(B2*10000/'数据-汇总表'!D3,0)</f>
        <v>0</v>
      </c>
      <c r="C4" s="2061"/>
      <c r="D4" s="2108"/>
      <c r="E4" s="2108"/>
      <c r="F4" s="2108"/>
      <c r="G4" s="2108"/>
    </row>
    <row r="5" spans="1:25" s="2059" customFormat="1" ht="18" customHeight="1" thickBot="1">
      <c r="A5" s="429"/>
      <c r="B5" s="430">
        <f ca="1">ROUND(B2/('数据-汇总表'!D3/666.67),0)</f>
        <v>0</v>
      </c>
      <c r="C5" s="431" t="s">
        <v>465</v>
      </c>
      <c r="D5" s="2108"/>
      <c r="E5" s="2108"/>
      <c r="F5" s="2108"/>
      <c r="G5" s="2108"/>
    </row>
    <row r="6" spans="1:25" s="2183" customFormat="1" ht="13.5" customHeight="1">
      <c r="A6" s="743"/>
      <c r="B6" s="744" t="s">
        <v>600</v>
      </c>
      <c r="C6" s="745" t="s">
        <v>601</v>
      </c>
      <c r="D6" s="745" t="s">
        <v>602</v>
      </c>
      <c r="E6" s="746" t="s">
        <v>603</v>
      </c>
      <c r="F6" s="746" t="s">
        <v>604</v>
      </c>
      <c r="G6" s="747"/>
    </row>
    <row r="7" spans="1:25" s="2183" customFormat="1" ht="13.5" customHeight="1">
      <c r="A7" s="2469">
        <v>1</v>
      </c>
      <c r="B7" s="748" t="s">
        <v>605</v>
      </c>
      <c r="C7" s="749">
        <f>C8+C9</f>
        <v>0</v>
      </c>
      <c r="D7" s="749"/>
      <c r="E7" s="750"/>
      <c r="F7" s="750"/>
      <c r="G7" s="2479"/>
    </row>
    <row r="8" spans="1:25" s="2183" customFormat="1" ht="13.5" customHeight="1">
      <c r="A8" s="2469" t="s">
        <v>2438</v>
      </c>
      <c r="B8" s="2472" t="s">
        <v>2440</v>
      </c>
      <c r="C8" s="2473"/>
      <c r="D8" s="749"/>
      <c r="E8" s="750"/>
      <c r="F8" s="750"/>
      <c r="G8" s="751"/>
    </row>
    <row r="9" spans="1:25" s="2183" customFormat="1" ht="13.5" customHeight="1">
      <c r="A9" s="2469" t="s">
        <v>2439</v>
      </c>
      <c r="B9" s="2472" t="s">
        <v>2441</v>
      </c>
      <c r="C9" s="2473"/>
      <c r="D9" s="749"/>
      <c r="E9" s="750"/>
      <c r="F9" s="750"/>
      <c r="G9" s="751"/>
    </row>
    <row r="10" spans="1:25" s="2183" customFormat="1" ht="36">
      <c r="A10" s="2469">
        <v>2</v>
      </c>
      <c r="B10" s="748" t="s">
        <v>609</v>
      </c>
      <c r="C10" s="749">
        <f>C11+C14+C15</f>
        <v>0</v>
      </c>
      <c r="D10" s="760">
        <f>'数据-汇总表'!E3</f>
        <v>124921.5</v>
      </c>
      <c r="E10" s="749">
        <f>'数据-取费表'!B31</f>
        <v>100</v>
      </c>
      <c r="F10" s="761"/>
      <c r="G10" s="759" t="s">
        <v>610</v>
      </c>
    </row>
    <row r="11" spans="1:25" s="2183" customFormat="1" ht="13.5" customHeight="1">
      <c r="A11" s="2469" t="s">
        <v>2438</v>
      </c>
      <c r="B11" s="752" t="s">
        <v>606</v>
      </c>
      <c r="C11" s="753">
        <f>'数据-取费表'!B29</f>
        <v>0</v>
      </c>
      <c r="D11" s="754"/>
      <c r="E11" s="753"/>
      <c r="F11" s="755"/>
      <c r="G11" s="2478" t="s">
        <v>2449</v>
      </c>
    </row>
    <row r="12" spans="1:25" s="2183" customFormat="1" ht="13.5" customHeight="1">
      <c r="A12" s="2476" t="s">
        <v>2446</v>
      </c>
      <c r="B12" s="756" t="s">
        <v>607</v>
      </c>
      <c r="C12" s="757">
        <f>ROUND(D12*E12/10000,0)</f>
        <v>1525</v>
      </c>
      <c r="D12" s="758">
        <f>'数据-汇总表'!E5</f>
        <v>95293</v>
      </c>
      <c r="E12" s="757">
        <f>'数据-取费表'!B27</f>
        <v>160</v>
      </c>
      <c r="F12" s="755"/>
      <c r="G12" s="759"/>
    </row>
    <row r="13" spans="1:25" s="2183" customFormat="1" ht="13.5" customHeight="1">
      <c r="A13" s="2476" t="s">
        <v>2445</v>
      </c>
      <c r="B13" s="756" t="s">
        <v>608</v>
      </c>
      <c r="C13" s="757">
        <f>ROUND(D13*E13/10000,0)</f>
        <v>593</v>
      </c>
      <c r="D13" s="758">
        <f>'数据-汇总表'!E6</f>
        <v>29628.5</v>
      </c>
      <c r="E13" s="757">
        <f>'数据-取费表'!B28</f>
        <v>200</v>
      </c>
      <c r="F13" s="755"/>
      <c r="G13" s="759"/>
    </row>
    <row r="14" spans="1:25" s="2183" customFormat="1" ht="13.5" customHeight="1">
      <c r="A14" s="2469" t="s">
        <v>2439</v>
      </c>
      <c r="B14" s="2475" t="s">
        <v>2442</v>
      </c>
      <c r="C14" s="2473"/>
      <c r="D14" s="758"/>
      <c r="E14" s="757"/>
      <c r="F14" s="2474"/>
      <c r="G14" s="2477" t="s">
        <v>2447</v>
      </c>
    </row>
    <row r="15" spans="1:25" s="2183" customFormat="1" ht="13.5" customHeight="1">
      <c r="A15" s="2469" t="s">
        <v>2444</v>
      </c>
      <c r="B15" s="2475" t="s">
        <v>2443</v>
      </c>
      <c r="C15" s="2473"/>
      <c r="D15" s="758"/>
      <c r="E15" s="757"/>
      <c r="F15" s="2474"/>
      <c r="G15" s="2477" t="s">
        <v>2448</v>
      </c>
    </row>
    <row r="16" spans="1:25" s="2184" customFormat="1" ht="48">
      <c r="A16" s="2469">
        <v>3</v>
      </c>
      <c r="B16" s="748" t="s">
        <v>611</v>
      </c>
      <c r="C16" s="2473"/>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612</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613</v>
      </c>
      <c r="C18" s="749">
        <f>ROUND((C7+C10+C16)*F18,0)</f>
        <v>0</v>
      </c>
      <c r="D18" s="762"/>
      <c r="E18" s="763"/>
      <c r="F18" s="761">
        <f>'数据-取费表'!Q16</f>
        <v>0.09</v>
      </c>
      <c r="G18" s="765"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615</v>
      </c>
      <c r="C19" s="749">
        <f ca="1">C7+C10+C16+C17+C18</f>
        <v>0</v>
      </c>
      <c r="D19" s="760"/>
      <c r="E19" s="749"/>
      <c r="F19" s="761"/>
      <c r="G19" s="765"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617</v>
      </c>
      <c r="C20" s="749">
        <f ca="1">ROUND(C19*F20,0)</f>
        <v>0</v>
      </c>
      <c r="D20" s="760"/>
      <c r="E20" s="749"/>
      <c r="F20" s="1349"/>
      <c r="G20" s="765"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619</v>
      </c>
      <c r="C21" s="749">
        <f ca="1">C19+C20</f>
        <v>0</v>
      </c>
      <c r="D21" s="760"/>
      <c r="E21" s="749"/>
      <c r="F21" s="761"/>
      <c r="G21" s="765"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621</v>
      </c>
      <c r="C22" s="749">
        <f ca="1">ROUND(C21*F22,0)</f>
        <v>0</v>
      </c>
      <c r="D22" s="760"/>
      <c r="E22" s="749"/>
      <c r="F22" s="766">
        <f>'数据-取费表'!AP16</f>
        <v>0.92300000000000004</v>
      </c>
      <c r="G22" s="765"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623</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23" t="s">
        <v>715</v>
      </c>
      <c r="C1" s="2624" t="s">
        <v>716</v>
      </c>
      <c r="D1" s="2625"/>
      <c r="E1" s="262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463</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515</v>
      </c>
      <c r="B3" s="851" t="e">
        <f>C49</f>
        <v>#DIV/0!</v>
      </c>
      <c r="C3" s="852" t="s">
        <v>718</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517</v>
      </c>
      <c r="B4" s="513"/>
      <c r="C4" s="3388" t="s">
        <v>518</v>
      </c>
      <c r="D4" s="3389"/>
      <c r="E4" s="3413" t="s">
        <v>519</v>
      </c>
      <c r="F4" s="3414"/>
      <c r="G4" s="3388" t="s">
        <v>520</v>
      </c>
      <c r="H4" s="3389"/>
      <c r="I4" s="3388" t="s">
        <v>521</v>
      </c>
      <c r="J4" s="3389"/>
      <c r="K4" s="853"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71" t="s">
        <v>520</v>
      </c>
      <c r="AC4" s="3371" t="s">
        <v>521</v>
      </c>
    </row>
    <row r="5" spans="1:29" ht="15">
      <c r="A5" s="515"/>
      <c r="B5" s="516"/>
      <c r="C5" s="3399" t="s">
        <v>2920</v>
      </c>
      <c r="D5" s="3400"/>
      <c r="E5" s="3415" t="s">
        <v>2921</v>
      </c>
      <c r="F5" s="3416"/>
      <c r="G5" s="3399" t="s">
        <v>2922</v>
      </c>
      <c r="H5" s="3400"/>
      <c r="I5" s="3399" t="s">
        <v>2923</v>
      </c>
      <c r="J5" s="3400"/>
      <c r="K5" s="854"/>
      <c r="L5" s="2133"/>
      <c r="M5" s="2134"/>
      <c r="N5" s="2134"/>
      <c r="O5" s="2134"/>
      <c r="P5" s="3392"/>
      <c r="Q5" s="3393"/>
      <c r="R5" s="3378"/>
      <c r="S5" s="3379"/>
      <c r="T5" s="3378"/>
      <c r="U5" s="3379"/>
      <c r="V5" s="3396"/>
      <c r="W5" s="3396"/>
      <c r="X5" s="1567"/>
      <c r="Y5" s="3378"/>
      <c r="Z5" s="3379"/>
      <c r="AA5" s="3372"/>
      <c r="AB5" s="3372"/>
      <c r="AC5" s="3372"/>
    </row>
    <row r="6" spans="1:29" ht="15.75" thickBot="1">
      <c r="A6" s="517"/>
      <c r="B6" s="518"/>
      <c r="C6" s="3397" t="s">
        <v>2924</v>
      </c>
      <c r="D6" s="3398"/>
      <c r="E6" s="3417" t="s">
        <v>2924</v>
      </c>
      <c r="F6" s="3418"/>
      <c r="G6" s="3397" t="s">
        <v>2924</v>
      </c>
      <c r="H6" s="3398"/>
      <c r="I6" s="3397" t="s">
        <v>2924</v>
      </c>
      <c r="J6" s="3398"/>
      <c r="K6" s="854" t="s">
        <v>524</v>
      </c>
      <c r="L6" s="2133"/>
      <c r="M6" s="2134"/>
      <c r="N6" s="2134"/>
      <c r="O6" s="2134"/>
      <c r="P6" s="3394"/>
      <c r="Q6" s="3395"/>
      <c r="R6" s="3378"/>
      <c r="S6" s="3379"/>
      <c r="T6" s="3380"/>
      <c r="U6" s="3381"/>
      <c r="V6" s="3396"/>
      <c r="W6" s="3396"/>
      <c r="X6" s="1567"/>
      <c r="Y6" s="3380"/>
      <c r="Z6" s="3381"/>
      <c r="AA6" s="3373"/>
      <c r="AB6" s="3373"/>
      <c r="AC6" s="3373"/>
    </row>
    <row r="7" spans="1:29" s="1220" customFormat="1" ht="15.75" thickBot="1">
      <c r="A7" s="2912"/>
      <c r="B7" s="2919" t="s">
        <v>525</v>
      </c>
      <c r="C7" s="519">
        <f>'数据-取费表'!B2</f>
        <v>43427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4" t="s">
        <v>526</v>
      </c>
      <c r="Q7" s="3383"/>
      <c r="R7" s="1568" t="s">
        <v>13</v>
      </c>
      <c r="S7" s="1569">
        <f t="shared" ref="S7:S15" si="0">F7</f>
        <v>0</v>
      </c>
      <c r="T7" s="1568" t="s">
        <v>13</v>
      </c>
      <c r="U7" s="1569">
        <f t="shared" ref="U7:U15" si="1">H7</f>
        <v>0</v>
      </c>
      <c r="V7" s="1568" t="s">
        <v>13</v>
      </c>
      <c r="W7" s="1569">
        <f t="shared" ref="W7:W15" si="2">J7</f>
        <v>0</v>
      </c>
      <c r="X7" s="1570"/>
      <c r="Y7" s="3374" t="s">
        <v>526</v>
      </c>
      <c r="Z7" s="3375"/>
      <c r="AA7" s="1571" t="e">
        <f>D7/F7</f>
        <v>#DIV/0!</v>
      </c>
      <c r="AB7" s="1571" t="e">
        <f>D7/H7</f>
        <v>#DIV/0!</v>
      </c>
      <c r="AC7" s="1571" t="e">
        <f>D7/J7</f>
        <v>#DIV/0!</v>
      </c>
    </row>
    <row r="8" spans="1:29" s="1220" customFormat="1" ht="15.75" thickBot="1">
      <c r="A8" s="2913"/>
      <c r="B8" s="2920" t="s">
        <v>527</v>
      </c>
      <c r="C8" s="525" t="s">
        <v>572</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4" t="s">
        <v>529</v>
      </c>
      <c r="Q8" s="3375"/>
      <c r="R8" s="1568" t="s">
        <v>13</v>
      </c>
      <c r="S8" s="1569">
        <f t="shared" si="0"/>
        <v>0</v>
      </c>
      <c r="T8" s="1568" t="s">
        <v>13</v>
      </c>
      <c r="U8" s="1569">
        <f t="shared" si="1"/>
        <v>0</v>
      </c>
      <c r="V8" s="1568" t="s">
        <v>13</v>
      </c>
      <c r="W8" s="1569">
        <f t="shared" si="2"/>
        <v>0</v>
      </c>
      <c r="X8" s="1570"/>
      <c r="Y8" s="3374" t="s">
        <v>529</v>
      </c>
      <c r="Z8" s="3375"/>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2" t="s">
        <v>531</v>
      </c>
      <c r="Q9" s="1151" t="str">
        <f t="shared" ref="Q9:Q15" si="6">B9</f>
        <v>用途</v>
      </c>
      <c r="R9" s="1568" t="s">
        <v>8</v>
      </c>
      <c r="S9" s="1569">
        <f t="shared" si="0"/>
        <v>100</v>
      </c>
      <c r="T9" s="1568" t="s">
        <v>8</v>
      </c>
      <c r="U9" s="1569">
        <f t="shared" si="1"/>
        <v>100</v>
      </c>
      <c r="V9" s="1568" t="s">
        <v>8</v>
      </c>
      <c r="W9" s="1569">
        <f t="shared" si="2"/>
        <v>100</v>
      </c>
      <c r="X9" s="1570"/>
      <c r="Y9" s="333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c r="A11" s="2916"/>
      <c r="B11" s="2920"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2"/>
      <c r="Q11" s="1151" t="str">
        <f t="shared" si="6"/>
        <v>容积率</v>
      </c>
      <c r="R11" s="1568" t="s">
        <v>11</v>
      </c>
      <c r="S11" s="1569" t="e">
        <f t="shared" si="0"/>
        <v>#N/A</v>
      </c>
      <c r="T11" s="1568" t="s">
        <v>11</v>
      </c>
      <c r="U11" s="1569" t="e">
        <f t="shared" si="1"/>
        <v>#N/A</v>
      </c>
      <c r="V11" s="1568" t="s">
        <v>11</v>
      </c>
      <c r="W11" s="1569" t="e">
        <f t="shared" si="2"/>
        <v>#N/A</v>
      </c>
      <c r="X11" s="1570"/>
      <c r="Y11" s="333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2"/>
      <c r="Q12" s="1151">
        <f t="shared" si="6"/>
        <v>111</v>
      </c>
      <c r="R12" s="1568" t="s">
        <v>11</v>
      </c>
      <c r="S12" s="1569">
        <f t="shared" si="0"/>
        <v>100</v>
      </c>
      <c r="T12" s="1568" t="s">
        <v>11</v>
      </c>
      <c r="U12" s="1569">
        <f t="shared" si="1"/>
        <v>100</v>
      </c>
      <c r="V12" s="1568" t="s">
        <v>11</v>
      </c>
      <c r="W12" s="1569">
        <f t="shared" si="2"/>
        <v>100</v>
      </c>
      <c r="X12" s="1570"/>
      <c r="Y12" s="3339"/>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2"/>
      <c r="Q13" s="1151">
        <f t="shared" si="6"/>
        <v>111</v>
      </c>
      <c r="R13" s="1568" t="s">
        <v>11</v>
      </c>
      <c r="S13" s="1569">
        <f t="shared" si="0"/>
        <v>100</v>
      </c>
      <c r="T13" s="1568" t="s">
        <v>11</v>
      </c>
      <c r="U13" s="1569">
        <f t="shared" si="1"/>
        <v>100</v>
      </c>
      <c r="V13" s="1568" t="s">
        <v>11</v>
      </c>
      <c r="W13" s="1569">
        <f t="shared" si="2"/>
        <v>100</v>
      </c>
      <c r="X13" s="1570"/>
      <c r="Y13" s="3339"/>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2"/>
      <c r="Q14" s="1151">
        <f t="shared" si="6"/>
        <v>111</v>
      </c>
      <c r="R14" s="1568" t="s">
        <v>11</v>
      </c>
      <c r="S14" s="1569">
        <f t="shared" si="0"/>
        <v>100</v>
      </c>
      <c r="T14" s="1568" t="s">
        <v>11</v>
      </c>
      <c r="U14" s="1569">
        <f t="shared" si="1"/>
        <v>100</v>
      </c>
      <c r="V14" s="1568" t="s">
        <v>11</v>
      </c>
      <c r="W14" s="1569">
        <f t="shared" si="2"/>
        <v>100</v>
      </c>
      <c r="X14" s="1570"/>
      <c r="Y14" s="3339"/>
      <c r="Z14" s="1150">
        <f t="shared" si="7"/>
        <v>111</v>
      </c>
      <c r="AA14" s="1571">
        <f t="shared" si="3"/>
        <v>1</v>
      </c>
      <c r="AB14" s="1571">
        <f t="shared" si="4"/>
        <v>1</v>
      </c>
      <c r="AC14" s="1571">
        <f t="shared" si="5"/>
        <v>1</v>
      </c>
    </row>
    <row r="15" spans="1:29" ht="99.75">
      <c r="A15" s="2910" t="s">
        <v>2751</v>
      </c>
      <c r="B15" s="166" t="s">
        <v>294</v>
      </c>
      <c r="C15" s="867" t="str">
        <f>估价对象房地状况!C3</f>
        <v>估价对象周边居住社区成熟度一般，有次渠家园东里等居住社区。</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4" t="s">
        <v>536</v>
      </c>
      <c r="Q15" s="1572" t="str">
        <f t="shared" si="6"/>
        <v>居住社区成熟度</v>
      </c>
      <c r="R15" s="1573" t="s">
        <v>11</v>
      </c>
      <c r="S15" s="1574">
        <f t="shared" si="0"/>
        <v>100</v>
      </c>
      <c r="T15" s="1573" t="s">
        <v>11</v>
      </c>
      <c r="U15" s="1574">
        <f t="shared" si="1"/>
        <v>100</v>
      </c>
      <c r="V15" s="1573" t="s">
        <v>11</v>
      </c>
      <c r="W15" s="1574">
        <f t="shared" si="2"/>
        <v>100</v>
      </c>
      <c r="X15" s="1567"/>
      <c r="Y15" s="3384" t="s">
        <v>536</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295</v>
      </c>
      <c r="C17" s="872" t="str">
        <f>估价对象房地状况!C6</f>
        <v>估价对象周边道路状况一般，周边有820路;986路;郊87路等多条公交线路及地铁亦庄线经过，路网密集度一般，综合考虑估价对象交通便捷度较好。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5"/>
      <c r="Q17" s="1572" t="str">
        <f>B17</f>
        <v>交通便捷度</v>
      </c>
      <c r="R17" s="1573" t="s">
        <v>11</v>
      </c>
      <c r="S17" s="1574">
        <f>F17</f>
        <v>100</v>
      </c>
      <c r="T17" s="1573" t="s">
        <v>11</v>
      </c>
      <c r="U17" s="1574">
        <f>H17</f>
        <v>100</v>
      </c>
      <c r="V17" s="1573" t="s">
        <v>11</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5"/>
      <c r="Q19" s="1572" t="str">
        <f>B19</f>
        <v>公共配套设施</v>
      </c>
      <c r="R19" s="1573" t="s">
        <v>11</v>
      </c>
      <c r="S19" s="1574">
        <f>F19</f>
        <v>100</v>
      </c>
      <c r="T19" s="1573" t="s">
        <v>11</v>
      </c>
      <c r="U19" s="1574">
        <f>H19</f>
        <v>100</v>
      </c>
      <c r="V19" s="1573" t="s">
        <v>11</v>
      </c>
      <c r="W19" s="1574">
        <f>J19</f>
        <v>100</v>
      </c>
      <c r="X19" s="1567"/>
      <c r="Y19" s="338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93" t="s">
        <v>2556</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5"/>
      <c r="Q21" s="2579" t="str">
        <f>B21</f>
        <v>基础设施水平</v>
      </c>
      <c r="R21" s="1573" t="s">
        <v>11</v>
      </c>
      <c r="S21" s="1574">
        <f>F21</f>
        <v>100</v>
      </c>
      <c r="T21" s="1573" t="s">
        <v>11</v>
      </c>
      <c r="U21" s="1574">
        <f>H21</f>
        <v>100</v>
      </c>
      <c r="V21" s="1573" t="s">
        <v>11</v>
      </c>
      <c r="W21" s="1574">
        <f>J21</f>
        <v>100</v>
      </c>
      <c r="X21" s="2581"/>
      <c r="Y21" s="3385"/>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85"/>
      <c r="Q22" s="2579"/>
      <c r="R22" s="1573"/>
      <c r="S22" s="1574"/>
      <c r="T22" s="1573"/>
      <c r="U22" s="1574"/>
      <c r="V22" s="1573"/>
      <c r="W22" s="1574"/>
      <c r="X22" s="2581"/>
      <c r="Y22" s="3385"/>
      <c r="Z22" s="2580"/>
      <c r="AA22" s="1576">
        <v>1</v>
      </c>
      <c r="AB22" s="1576">
        <v>1</v>
      </c>
      <c r="AC22" s="1576">
        <v>1</v>
      </c>
    </row>
    <row r="23" spans="1:29" ht="57">
      <c r="A23" s="532"/>
      <c r="B23" s="871" t="s">
        <v>296</v>
      </c>
      <c r="C23" s="872" t="str">
        <f>估价对象房地状况!C9</f>
        <v>估价对象周边2公里内有亦庄湿地公园等，综合考虑自然及人文环境一般。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5"/>
      <c r="Q23" s="1572" t="str">
        <f>B23</f>
        <v>自然及人文环境</v>
      </c>
      <c r="R23" s="1573" t="s">
        <v>11</v>
      </c>
      <c r="S23" s="1574">
        <f>F23</f>
        <v>100</v>
      </c>
      <c r="T23" s="1573" t="s">
        <v>11</v>
      </c>
      <c r="U23" s="1574">
        <f>H23</f>
        <v>100</v>
      </c>
      <c r="V23" s="1573" t="s">
        <v>11</v>
      </c>
      <c r="W23" s="1574">
        <f>J23</f>
        <v>100</v>
      </c>
      <c r="X23" s="1567"/>
      <c r="Y23" s="338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5"/>
      <c r="Q27" s="1151" t="str">
        <f t="shared" si="11"/>
        <v>道路级别</v>
      </c>
      <c r="R27" s="1568" t="s">
        <v>11</v>
      </c>
      <c r="S27" s="1569">
        <f>F27</f>
        <v>100</v>
      </c>
      <c r="T27" s="1568" t="s">
        <v>11</v>
      </c>
      <c r="U27" s="1569">
        <f>H27</f>
        <v>100</v>
      </c>
      <c r="V27" s="1568" t="s">
        <v>11</v>
      </c>
      <c r="W27" s="1569">
        <f>J27</f>
        <v>100</v>
      </c>
      <c r="X27" s="1570"/>
      <c r="Y27" s="338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5"/>
      <c r="Q29" s="1572">
        <f t="shared" si="11"/>
        <v>111</v>
      </c>
      <c r="R29" s="1573" t="s">
        <v>11</v>
      </c>
      <c r="S29" s="1574">
        <f t="shared" si="12"/>
        <v>100</v>
      </c>
      <c r="T29" s="1573" t="s">
        <v>11</v>
      </c>
      <c r="U29" s="1574">
        <f t="shared" si="13"/>
        <v>100</v>
      </c>
      <c r="V29" s="1573" t="s">
        <v>11</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5"/>
      <c r="Q30" s="1572">
        <f t="shared" si="11"/>
        <v>111</v>
      </c>
      <c r="R30" s="1573" t="s">
        <v>11</v>
      </c>
      <c r="S30" s="1574">
        <f t="shared" si="12"/>
        <v>100</v>
      </c>
      <c r="T30" s="1573" t="s">
        <v>11</v>
      </c>
      <c r="U30" s="1574">
        <f t="shared" si="13"/>
        <v>100</v>
      </c>
      <c r="V30" s="1573" t="s">
        <v>11</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5"/>
      <c r="Q31" s="1572">
        <f t="shared" si="11"/>
        <v>111</v>
      </c>
      <c r="R31" s="1573" t="s">
        <v>11</v>
      </c>
      <c r="S31" s="1574">
        <f t="shared" si="12"/>
        <v>100</v>
      </c>
      <c r="T31" s="1573" t="s">
        <v>11</v>
      </c>
      <c r="U31" s="1574">
        <f t="shared" si="13"/>
        <v>100</v>
      </c>
      <c r="V31" s="1573" t="s">
        <v>11</v>
      </c>
      <c r="W31" s="1574">
        <f t="shared" si="14"/>
        <v>100</v>
      </c>
      <c r="X31" s="1567"/>
      <c r="Y31" s="3385"/>
      <c r="Z31" s="1575">
        <f t="shared" si="15"/>
        <v>111</v>
      </c>
      <c r="AA31" s="1576">
        <f t="shared" si="3"/>
        <v>1</v>
      </c>
      <c r="AB31" s="1576">
        <f t="shared" si="4"/>
        <v>1</v>
      </c>
      <c r="AC31" s="1576">
        <f t="shared" si="5"/>
        <v>1</v>
      </c>
    </row>
    <row r="32" spans="1:29" ht="15">
      <c r="A32" s="2907" t="s">
        <v>2752</v>
      </c>
      <c r="B32" s="172" t="s">
        <v>721</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6" t="s">
        <v>546</v>
      </c>
      <c r="Q32" s="1572" t="str">
        <f t="shared" si="11"/>
        <v>建筑类型</v>
      </c>
      <c r="R32" s="1573" t="s">
        <v>11</v>
      </c>
      <c r="S32" s="1574">
        <f t="shared" si="12"/>
        <v>100</v>
      </c>
      <c r="T32" s="1573" t="s">
        <v>11</v>
      </c>
      <c r="U32" s="1574">
        <f t="shared" si="13"/>
        <v>100</v>
      </c>
      <c r="V32" s="1573" t="s">
        <v>11</v>
      </c>
      <c r="W32" s="1574">
        <f t="shared" si="14"/>
        <v>100</v>
      </c>
      <c r="X32" s="1567"/>
      <c r="Y32" s="3387" t="s">
        <v>546</v>
      </c>
      <c r="Z32" s="1575" t="str">
        <f t="shared" si="15"/>
        <v>建筑类型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7"/>
      <c r="Q33" s="1605" t="str">
        <f t="shared" si="11"/>
        <v>项目建筑规模</v>
      </c>
      <c r="R33" s="1577" t="s">
        <v>11</v>
      </c>
      <c r="S33" s="1578" t="e">
        <f t="shared" si="12"/>
        <v>#N/A</v>
      </c>
      <c r="T33" s="1577" t="s">
        <v>11</v>
      </c>
      <c r="U33" s="1578" t="e">
        <f t="shared" si="13"/>
        <v>#N/A</v>
      </c>
      <c r="V33" s="1577" t="s">
        <v>11</v>
      </c>
      <c r="W33" s="1578" t="e">
        <f t="shared" si="14"/>
        <v>#N/A</v>
      </c>
      <c r="X33" s="1579"/>
      <c r="Y33" s="3387"/>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4"/>
      <c r="B35" s="527" t="s">
        <v>724</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7"/>
      <c r="Q35" s="1572" t="str">
        <f t="shared" si="11"/>
        <v>建筑品质</v>
      </c>
      <c r="R35" s="1573" t="s">
        <v>11</v>
      </c>
      <c r="S35" s="1574">
        <f t="shared" si="12"/>
        <v>100</v>
      </c>
      <c r="T35" s="1573" t="s">
        <v>11</v>
      </c>
      <c r="U35" s="1574">
        <f t="shared" si="13"/>
        <v>100</v>
      </c>
      <c r="V35" s="1573" t="s">
        <v>11</v>
      </c>
      <c r="W35" s="1574">
        <f t="shared" si="14"/>
        <v>100</v>
      </c>
      <c r="X35" s="1567"/>
      <c r="Y35" s="3387"/>
      <c r="Z35" s="1575" t="str">
        <f t="shared" si="15"/>
        <v>建筑品质</v>
      </c>
      <c r="AA35" s="1576">
        <f t="shared" si="3"/>
        <v>1</v>
      </c>
      <c r="AB35" s="1576">
        <f t="shared" si="4"/>
        <v>1</v>
      </c>
      <c r="AC35" s="1576">
        <f t="shared" si="5"/>
        <v>1</v>
      </c>
    </row>
    <row r="36" spans="1:29" ht="15">
      <c r="A36" s="594"/>
      <c r="B36" s="527" t="s">
        <v>725</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20" customFormat="1" ht="15">
      <c r="A37" s="600"/>
      <c r="B37" s="527" t="s">
        <v>726</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7"/>
      <c r="Q37" s="1151" t="str">
        <f t="shared" si="11"/>
        <v>成新度</v>
      </c>
      <c r="R37" s="1568" t="s">
        <v>11</v>
      </c>
      <c r="S37" s="1569" t="e">
        <f t="shared" si="12"/>
        <v>#N/A</v>
      </c>
      <c r="T37" s="1568" t="s">
        <v>11</v>
      </c>
      <c r="U37" s="1569" t="e">
        <f t="shared" si="13"/>
        <v>#N/A</v>
      </c>
      <c r="V37" s="1568" t="s">
        <v>11</v>
      </c>
      <c r="W37" s="1569" t="e">
        <f t="shared" si="14"/>
        <v>#N/A</v>
      </c>
      <c r="X37" s="1570"/>
      <c r="Y37" s="3387"/>
      <c r="Z37" s="1150" t="str">
        <f t="shared" si="15"/>
        <v>成新度</v>
      </c>
      <c r="AA37" s="1571" t="e">
        <f t="shared" si="3"/>
        <v>#N/A</v>
      </c>
      <c r="AB37" s="1571" t="e">
        <f t="shared" si="4"/>
        <v>#N/A</v>
      </c>
      <c r="AC37" s="1571" t="e">
        <f t="shared" si="5"/>
        <v>#N/A</v>
      </c>
    </row>
    <row r="38" spans="1:29" ht="15">
      <c r="A38" s="594"/>
      <c r="B38" s="527" t="s">
        <v>727</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7" t="s">
        <v>546</v>
      </c>
      <c r="Q38" s="1572" t="str">
        <f t="shared" si="11"/>
        <v>物业管理</v>
      </c>
      <c r="R38" s="1573" t="s">
        <v>11</v>
      </c>
      <c r="S38" s="1574">
        <f t="shared" si="12"/>
        <v>100</v>
      </c>
      <c r="T38" s="1573" t="s">
        <v>11</v>
      </c>
      <c r="U38" s="1574">
        <f t="shared" si="13"/>
        <v>100</v>
      </c>
      <c r="V38" s="1573" t="s">
        <v>11</v>
      </c>
      <c r="W38" s="1574">
        <f t="shared" si="14"/>
        <v>100</v>
      </c>
      <c r="X38" s="1567"/>
      <c r="Y38" s="3387" t="s">
        <v>546</v>
      </c>
      <c r="Z38" s="1575" t="str">
        <f t="shared" si="15"/>
        <v>物业管理</v>
      </c>
      <c r="AA38" s="1576">
        <f t="shared" si="3"/>
        <v>1</v>
      </c>
      <c r="AB38" s="1576">
        <f t="shared" si="4"/>
        <v>1</v>
      </c>
      <c r="AC38" s="1576">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4"/>
      <c r="B40" s="527" t="s">
        <v>728</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9" customFormat="1" ht="28.5">
      <c r="A41" s="603"/>
      <c r="B41" s="527" t="s">
        <v>729</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
      <c r="A42" s="594"/>
      <c r="B42" s="527" t="s">
        <v>730</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7"/>
      <c r="Q42" s="1572" t="str">
        <f t="shared" si="11"/>
        <v>内部装修</v>
      </c>
      <c r="R42" s="1573" t="s">
        <v>11</v>
      </c>
      <c r="S42" s="1574">
        <f t="shared" si="12"/>
        <v>100</v>
      </c>
      <c r="T42" s="1573" t="s">
        <v>11</v>
      </c>
      <c r="U42" s="1574">
        <f t="shared" si="13"/>
        <v>100</v>
      </c>
      <c r="V42" s="1573" t="s">
        <v>11</v>
      </c>
      <c r="W42" s="1574">
        <f t="shared" si="14"/>
        <v>100</v>
      </c>
      <c r="X42" s="1567"/>
      <c r="Y42" s="3387"/>
      <c r="Z42" s="1575" t="str">
        <f t="shared" si="15"/>
        <v>内部装修</v>
      </c>
      <c r="AA42" s="1576">
        <f t="shared" si="3"/>
        <v>1</v>
      </c>
      <c r="AB42" s="1576">
        <f t="shared" si="4"/>
        <v>1</v>
      </c>
      <c r="AC42" s="1576">
        <f t="shared" si="5"/>
        <v>1</v>
      </c>
    </row>
    <row r="43" spans="1:29" ht="27">
      <c r="A43" s="594"/>
      <c r="B43" s="527" t="s">
        <v>731</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7"/>
      <c r="Q44" s="1151">
        <f t="shared" si="11"/>
        <v>111</v>
      </c>
      <c r="R44" s="1568" t="s">
        <v>11</v>
      </c>
      <c r="S44" s="1569">
        <f t="shared" si="12"/>
        <v>100</v>
      </c>
      <c r="T44" s="1568" t="s">
        <v>11</v>
      </c>
      <c r="U44" s="1569">
        <f t="shared" si="13"/>
        <v>100</v>
      </c>
      <c r="V44" s="1568" t="s">
        <v>11</v>
      </c>
      <c r="W44" s="1569">
        <f t="shared" si="14"/>
        <v>100</v>
      </c>
      <c r="X44" s="1570"/>
      <c r="Y44" s="338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7"/>
      <c r="Q45" s="1572">
        <f t="shared" si="11"/>
        <v>111</v>
      </c>
      <c r="R45" s="1573" t="s">
        <v>11</v>
      </c>
      <c r="S45" s="1574">
        <f t="shared" si="12"/>
        <v>100</v>
      </c>
      <c r="T45" s="1573" t="s">
        <v>11</v>
      </c>
      <c r="U45" s="1574">
        <f t="shared" si="13"/>
        <v>100</v>
      </c>
      <c r="V45" s="1573" t="s">
        <v>11</v>
      </c>
      <c r="W45" s="1574">
        <f t="shared" si="14"/>
        <v>100</v>
      </c>
      <c r="X45" s="1567"/>
      <c r="Y45" s="338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2">
        <f t="shared" si="11"/>
        <v>111</v>
      </c>
      <c r="R46" s="1573" t="s">
        <v>10</v>
      </c>
      <c r="S46" s="1574">
        <f t="shared" si="12"/>
        <v>100</v>
      </c>
      <c r="T46" s="1573" t="s">
        <v>10</v>
      </c>
      <c r="U46" s="1574">
        <f t="shared" si="13"/>
        <v>100</v>
      </c>
      <c r="V46" s="1573" t="s">
        <v>10</v>
      </c>
      <c r="W46" s="1574">
        <f t="shared" si="14"/>
        <v>100</v>
      </c>
      <c r="X46" s="1567"/>
      <c r="Y46" s="3484"/>
      <c r="Z46" s="1575">
        <f t="shared" si="15"/>
        <v>111</v>
      </c>
      <c r="AA46" s="1576">
        <f t="shared" si="3"/>
        <v>1</v>
      </c>
      <c r="AB46" s="1576">
        <f t="shared" si="4"/>
        <v>1</v>
      </c>
      <c r="AC46" s="1576">
        <f t="shared" si="5"/>
        <v>1</v>
      </c>
    </row>
    <row r="47" spans="1:29" ht="15">
      <c r="A47" s="607" t="s">
        <v>732</v>
      </c>
      <c r="B47" s="887"/>
      <c r="C47" s="2627" t="s">
        <v>9</v>
      </c>
      <c r="D47" s="2628"/>
      <c r="E47" s="2629"/>
      <c r="F47" s="2630"/>
      <c r="G47" s="2631"/>
      <c r="H47" s="2632"/>
      <c r="I47" s="2629"/>
      <c r="J47" s="2632"/>
      <c r="K47" s="1606"/>
      <c r="L47" s="2144"/>
      <c r="M47" s="2145"/>
      <c r="N47" s="2134"/>
      <c r="O47" s="2145"/>
      <c r="P47" s="3382" t="str">
        <f>A47</f>
        <v>成交单价（元/平方米）</v>
      </c>
      <c r="Q47" s="3382"/>
      <c r="R47" s="3483">
        <f>E47</f>
        <v>0</v>
      </c>
      <c r="S47" s="3483"/>
      <c r="T47" s="3483">
        <f>G47</f>
        <v>0</v>
      </c>
      <c r="U47" s="3483"/>
      <c r="V47" s="3483">
        <f>I47</f>
        <v>0</v>
      </c>
      <c r="W47" s="3483"/>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07"/>
      <c r="L48" s="2144"/>
      <c r="M48" s="2145"/>
      <c r="N48" s="2145"/>
      <c r="O48" s="2145"/>
      <c r="P48" s="3382" t="str">
        <f>A48</f>
        <v>比较价格（元/平方米）</v>
      </c>
      <c r="Q48" s="33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9"/>
      <c r="Y48" s="1559"/>
      <c r="Z48" s="1559"/>
      <c r="AA48" s="1559"/>
      <c r="AB48" s="1559"/>
      <c r="AC48" s="1559"/>
    </row>
    <row r="49" spans="1:29" ht="15.75" thickBot="1">
      <c r="A49" s="621" t="s">
        <v>2926</v>
      </c>
      <c r="B49" s="622"/>
      <c r="C49" s="2636" t="e">
        <f>R49</f>
        <v>#DIV/0!</v>
      </c>
      <c r="D49" s="2636"/>
      <c r="E49" s="2636"/>
      <c r="F49" s="2636"/>
      <c r="G49" s="2636"/>
      <c r="H49" s="2636"/>
      <c r="I49" s="2636"/>
      <c r="J49" s="2636"/>
      <c r="K49" s="1608"/>
      <c r="L49" s="2144"/>
      <c r="M49" s="2145"/>
      <c r="N49" s="2145"/>
      <c r="O49" s="2145"/>
      <c r="P49" s="3404" t="str">
        <f>A49</f>
        <v>估价对象XX用房的比较价格（楼面单价，元/平方米）</v>
      </c>
      <c r="Q49" s="3405"/>
      <c r="R49" s="3482" t="e">
        <f>IF(F1="售价",ROUND(AVERAGE(R48:V48),0),ROUND(AVERAGE(R48:V48),1))</f>
        <v>#DIV/0!</v>
      </c>
      <c r="S49" s="3482"/>
      <c r="T49" s="3482"/>
      <c r="U49" s="3482"/>
      <c r="V49" s="3482"/>
      <c r="W49" s="348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742</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743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746</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747</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749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750</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729</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0"/>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517</v>
      </c>
      <c r="B4" s="513"/>
      <c r="C4" s="3388" t="s">
        <v>518</v>
      </c>
      <c r="D4" s="3389"/>
      <c r="E4" s="3413" t="s">
        <v>519</v>
      </c>
      <c r="F4" s="3414"/>
      <c r="G4" s="3388" t="s">
        <v>520</v>
      </c>
      <c r="H4" s="3389"/>
      <c r="I4" s="3388" t="s">
        <v>521</v>
      </c>
      <c r="J4" s="3389"/>
      <c r="K4" s="514"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96" t="s">
        <v>520</v>
      </c>
      <c r="AC4" s="3371" t="s">
        <v>521</v>
      </c>
    </row>
    <row r="5" spans="1:29" ht="15">
      <c r="A5" s="515"/>
      <c r="B5" s="516"/>
      <c r="C5" s="3399" t="s">
        <v>2920</v>
      </c>
      <c r="D5" s="3400"/>
      <c r="E5" s="3415" t="s">
        <v>2921</v>
      </c>
      <c r="F5" s="3416"/>
      <c r="G5" s="3399" t="s">
        <v>2922</v>
      </c>
      <c r="H5" s="3400"/>
      <c r="I5" s="3399" t="s">
        <v>2923</v>
      </c>
      <c r="J5" s="3400"/>
      <c r="K5" s="514"/>
      <c r="L5" s="2133"/>
      <c r="M5" s="2134"/>
      <c r="N5" s="2134"/>
      <c r="O5" s="2134"/>
      <c r="P5" s="3392"/>
      <c r="Q5" s="3393"/>
      <c r="R5" s="3378"/>
      <c r="S5" s="3379"/>
      <c r="T5" s="3378"/>
      <c r="U5" s="3379"/>
      <c r="V5" s="3396"/>
      <c r="W5" s="3396"/>
      <c r="X5" s="1567"/>
      <c r="Y5" s="3378"/>
      <c r="Z5" s="3379"/>
      <c r="AA5" s="3372"/>
      <c r="AB5" s="3396"/>
      <c r="AC5" s="3372"/>
    </row>
    <row r="6" spans="1:29" ht="15.75" thickBot="1">
      <c r="A6" s="517"/>
      <c r="B6" s="518"/>
      <c r="C6" s="3397" t="s">
        <v>2924</v>
      </c>
      <c r="D6" s="3398"/>
      <c r="E6" s="3417" t="s">
        <v>2924</v>
      </c>
      <c r="F6" s="3418"/>
      <c r="G6" s="3397" t="s">
        <v>2924</v>
      </c>
      <c r="H6" s="3398"/>
      <c r="I6" s="3397" t="s">
        <v>2924</v>
      </c>
      <c r="J6" s="3398"/>
      <c r="K6" s="514" t="s">
        <v>524</v>
      </c>
      <c r="L6" s="2133"/>
      <c r="M6" s="2134"/>
      <c r="N6" s="2134"/>
      <c r="O6" s="2134"/>
      <c r="P6" s="3394"/>
      <c r="Q6" s="3395"/>
      <c r="R6" s="3378"/>
      <c r="S6" s="3379"/>
      <c r="T6" s="3380"/>
      <c r="U6" s="3381"/>
      <c r="V6" s="3396"/>
      <c r="W6" s="3396"/>
      <c r="X6" s="1567"/>
      <c r="Y6" s="3380"/>
      <c r="Z6" s="3381"/>
      <c r="AA6" s="3373"/>
      <c r="AB6" s="3396"/>
      <c r="AC6" s="3373"/>
    </row>
    <row r="7" spans="1:29" s="1220" customFormat="1" ht="15.75" thickBot="1">
      <c r="A7" s="2912"/>
      <c r="B7" s="2919" t="s">
        <v>525</v>
      </c>
      <c r="C7" s="519">
        <f>'数据-取费表'!B2</f>
        <v>43427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4" t="s">
        <v>526</v>
      </c>
      <c r="Q7" s="3383"/>
      <c r="R7" s="1568" t="s">
        <v>8</v>
      </c>
      <c r="S7" s="1569">
        <f t="shared" ref="S7:S15" si="0">F7</f>
        <v>0</v>
      </c>
      <c r="T7" s="1568" t="s">
        <v>8</v>
      </c>
      <c r="U7" s="1569">
        <f t="shared" ref="U7:U15" si="1">H7</f>
        <v>0</v>
      </c>
      <c r="V7" s="1568" t="s">
        <v>8</v>
      </c>
      <c r="W7" s="1569">
        <f t="shared" ref="W7:W15" si="2">J7</f>
        <v>0</v>
      </c>
      <c r="X7" s="1570"/>
      <c r="Y7" s="3374" t="s">
        <v>526</v>
      </c>
      <c r="Z7" s="3375"/>
      <c r="AA7" s="1571" t="e">
        <f>D7/F7</f>
        <v>#DIV/0!</v>
      </c>
      <c r="AB7" s="1571" t="e">
        <f>D7/H7</f>
        <v>#DIV/0!</v>
      </c>
      <c r="AC7" s="1571" t="e">
        <f>D7/J7</f>
        <v>#DIV/0!</v>
      </c>
    </row>
    <row r="8" spans="1:29" s="1220" customFormat="1" ht="15.75" thickBot="1">
      <c r="A8" s="2913"/>
      <c r="B8" s="2920" t="s">
        <v>527</v>
      </c>
      <c r="C8" s="525" t="s">
        <v>572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2" t="s">
        <v>531</v>
      </c>
      <c r="Q9" s="1151" t="str">
        <f t="shared" ref="Q9:Q15" si="6">B9</f>
        <v>用途</v>
      </c>
      <c r="R9" s="1568" t="s">
        <v>8</v>
      </c>
      <c r="S9" s="1569">
        <f t="shared" si="0"/>
        <v>100</v>
      </c>
      <c r="T9" s="1568" t="s">
        <v>8</v>
      </c>
      <c r="U9" s="1569">
        <f t="shared" si="1"/>
        <v>100</v>
      </c>
      <c r="V9" s="1568" t="s">
        <v>8</v>
      </c>
      <c r="W9" s="1569">
        <f t="shared" si="2"/>
        <v>100</v>
      </c>
      <c r="X9" s="1570"/>
      <c r="Y9" s="333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2"/>
      <c r="Q11" s="1151" t="str">
        <f t="shared" si="6"/>
        <v>容积率</v>
      </c>
      <c r="R11" s="1568" t="s">
        <v>8</v>
      </c>
      <c r="S11" s="1569" t="e">
        <f t="shared" si="0"/>
        <v>#N/A</v>
      </c>
      <c r="T11" s="1568" t="s">
        <v>8</v>
      </c>
      <c r="U11" s="1569" t="e">
        <f t="shared" si="1"/>
        <v>#N/A</v>
      </c>
      <c r="V11" s="1568" t="s">
        <v>8</v>
      </c>
      <c r="W11" s="1569" t="e">
        <f t="shared" si="2"/>
        <v>#N/A</v>
      </c>
      <c r="X11" s="1570"/>
      <c r="Y11" s="333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2"/>
      <c r="Q12" s="1151">
        <f t="shared" si="6"/>
        <v>111</v>
      </c>
      <c r="R12" s="1568" t="s">
        <v>8</v>
      </c>
      <c r="S12" s="1569">
        <f t="shared" si="0"/>
        <v>100</v>
      </c>
      <c r="T12" s="1568" t="s">
        <v>8</v>
      </c>
      <c r="U12" s="1569">
        <f t="shared" si="1"/>
        <v>100</v>
      </c>
      <c r="V12" s="1568" t="s">
        <v>8</v>
      </c>
      <c r="W12" s="1569">
        <f t="shared" si="2"/>
        <v>100</v>
      </c>
      <c r="X12" s="1570"/>
      <c r="Y12" s="3339"/>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2"/>
      <c r="Q13" s="1151">
        <f t="shared" si="6"/>
        <v>111</v>
      </c>
      <c r="R13" s="1568" t="s">
        <v>8</v>
      </c>
      <c r="S13" s="1569">
        <f t="shared" si="0"/>
        <v>100</v>
      </c>
      <c r="T13" s="1568" t="s">
        <v>8</v>
      </c>
      <c r="U13" s="1569">
        <f t="shared" si="1"/>
        <v>100</v>
      </c>
      <c r="V13" s="1568" t="s">
        <v>8</v>
      </c>
      <c r="W13" s="1569">
        <f t="shared" si="2"/>
        <v>100</v>
      </c>
      <c r="X13" s="1570"/>
      <c r="Y13" s="3339"/>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2"/>
      <c r="Q14" s="1151">
        <f t="shared" si="6"/>
        <v>111</v>
      </c>
      <c r="R14" s="1568" t="s">
        <v>8</v>
      </c>
      <c r="S14" s="1569">
        <f t="shared" si="0"/>
        <v>100</v>
      </c>
      <c r="T14" s="1568" t="s">
        <v>8</v>
      </c>
      <c r="U14" s="1569">
        <f t="shared" si="1"/>
        <v>100</v>
      </c>
      <c r="V14" s="1568" t="s">
        <v>8</v>
      </c>
      <c r="W14" s="1569">
        <f t="shared" si="2"/>
        <v>100</v>
      </c>
      <c r="X14" s="1570"/>
      <c r="Y14" s="3339"/>
      <c r="Z14" s="1150">
        <f t="shared" si="7"/>
        <v>111</v>
      </c>
      <c r="AA14" s="1571">
        <f t="shared" si="3"/>
        <v>1</v>
      </c>
      <c r="AB14" s="1571">
        <f t="shared" si="4"/>
        <v>1</v>
      </c>
      <c r="AC14" s="1571">
        <f t="shared" si="5"/>
        <v>1</v>
      </c>
    </row>
    <row r="15" spans="1:29" ht="71.25">
      <c r="A15" s="2910" t="s">
        <v>2751</v>
      </c>
      <c r="B15" s="166" t="s">
        <v>537</v>
      </c>
      <c r="C15" s="867" t="str">
        <f>估价对象房地状况!C4</f>
        <v>估价对象周边商业氛围一般，无大型购物中心，人流量一般，商业繁华度一般。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4" t="s">
        <v>536</v>
      </c>
      <c r="Q15" s="1572" t="str">
        <f t="shared" si="6"/>
        <v>商业繁华度</v>
      </c>
      <c r="R15" s="1573" t="s">
        <v>8</v>
      </c>
      <c r="S15" s="1574">
        <f t="shared" si="0"/>
        <v>100</v>
      </c>
      <c r="T15" s="1573" t="s">
        <v>8</v>
      </c>
      <c r="U15" s="1574">
        <f t="shared" si="1"/>
        <v>100</v>
      </c>
      <c r="V15" s="1573" t="s">
        <v>8</v>
      </c>
      <c r="W15" s="1574">
        <f t="shared" si="2"/>
        <v>100</v>
      </c>
      <c r="X15" s="1567"/>
      <c r="Y15" s="3384"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295</v>
      </c>
      <c r="C17" s="872" t="str">
        <f>估价对象房地状况!C6</f>
        <v>估价对象周边道路状况一般，周边有820路;986路;郊87路等多条公交线路及地铁亦庄线经过，路网密集度一般，综合考虑估价对象交通便捷度较好。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93" t="s">
        <v>2556</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5"/>
      <c r="Q21" s="2579" t="str">
        <f>B21</f>
        <v>基础设施水平</v>
      </c>
      <c r="R21" s="1573" t="s">
        <v>8</v>
      </c>
      <c r="S21" s="1574">
        <f>F21</f>
        <v>100</v>
      </c>
      <c r="T21" s="1573" t="s">
        <v>8</v>
      </c>
      <c r="U21" s="1574">
        <f>H21</f>
        <v>100</v>
      </c>
      <c r="V21" s="1573" t="s">
        <v>8</v>
      </c>
      <c r="W21" s="1574">
        <f>J21</f>
        <v>100</v>
      </c>
      <c r="X21" s="2581"/>
      <c r="Y21" s="3385"/>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85"/>
      <c r="Q22" s="2579"/>
      <c r="R22" s="1573"/>
      <c r="S22" s="1574"/>
      <c r="T22" s="1573"/>
      <c r="U22" s="1574"/>
      <c r="V22" s="1573"/>
      <c r="W22" s="1574"/>
      <c r="X22" s="2581"/>
      <c r="Y22" s="3385"/>
      <c r="Z22" s="2580"/>
      <c r="AA22" s="1576">
        <v>1</v>
      </c>
      <c r="AB22" s="1576">
        <v>1</v>
      </c>
      <c r="AC22" s="1576">
        <v>1</v>
      </c>
    </row>
    <row r="23" spans="1:29" ht="57">
      <c r="A23" s="532"/>
      <c r="B23" s="871" t="s">
        <v>296</v>
      </c>
      <c r="C23" s="900" t="str">
        <f>估价对象房地状况!C9</f>
        <v>估价对象周边2公里内有亦庄湿地公园等，综合考虑自然及人文环境一般。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5"/>
      <c r="Q27" s="1151" t="str">
        <f t="shared" si="11"/>
        <v>人流量</v>
      </c>
      <c r="R27" s="1568" t="s">
        <v>8</v>
      </c>
      <c r="S27" s="1569">
        <f>F27</f>
        <v>100</v>
      </c>
      <c r="T27" s="1568" t="s">
        <v>8</v>
      </c>
      <c r="U27" s="1569">
        <f>H27</f>
        <v>100</v>
      </c>
      <c r="V27" s="1568" t="s">
        <v>8</v>
      </c>
      <c r="W27" s="1569">
        <f>J27</f>
        <v>100</v>
      </c>
      <c r="X27" s="1570"/>
      <c r="Y27" s="3385"/>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907" t="s">
        <v>2752</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6" t="s">
        <v>546</v>
      </c>
      <c r="Q32" s="1572" t="str">
        <f t="shared" si="11"/>
        <v>商业类型</v>
      </c>
      <c r="R32" s="1573" t="s">
        <v>8</v>
      </c>
      <c r="S32" s="1574">
        <f t="shared" si="12"/>
        <v>100</v>
      </c>
      <c r="T32" s="1573" t="s">
        <v>8</v>
      </c>
      <c r="U32" s="1574">
        <f t="shared" si="13"/>
        <v>100</v>
      </c>
      <c r="V32" s="1573" t="s">
        <v>8</v>
      </c>
      <c r="W32" s="1574">
        <f t="shared" si="14"/>
        <v>100</v>
      </c>
      <c r="X32" s="1567"/>
      <c r="Y32" s="3387"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7"/>
      <c r="Q33" s="1605" t="str">
        <f t="shared" si="11"/>
        <v>项目建筑规模</v>
      </c>
      <c r="R33" s="1577" t="s">
        <v>8</v>
      </c>
      <c r="S33" s="1578" t="e">
        <f t="shared" si="12"/>
        <v>#N/A</v>
      </c>
      <c r="T33" s="1577" t="s">
        <v>8</v>
      </c>
      <c r="U33" s="1578" t="e">
        <f t="shared" si="13"/>
        <v>#N/A</v>
      </c>
      <c r="V33" s="1577" t="s">
        <v>8</v>
      </c>
      <c r="W33" s="1578" t="e">
        <f t="shared" si="14"/>
        <v>#N/A</v>
      </c>
      <c r="X33" s="1579"/>
      <c r="Y33" s="3387"/>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7"/>
      <c r="Q36" s="1572" t="str">
        <f t="shared" si="11"/>
        <v>成新度</v>
      </c>
      <c r="R36" s="1573" t="s">
        <v>8</v>
      </c>
      <c r="S36" s="1574" t="e">
        <f t="shared" si="12"/>
        <v>#N/A</v>
      </c>
      <c r="T36" s="1573" t="s">
        <v>8</v>
      </c>
      <c r="U36" s="1574" t="e">
        <f t="shared" si="13"/>
        <v>#N/A</v>
      </c>
      <c r="V36" s="1573" t="s">
        <v>8</v>
      </c>
      <c r="W36" s="1574" t="e">
        <f t="shared" si="14"/>
        <v>#N/A</v>
      </c>
      <c r="X36" s="1567"/>
      <c r="Y36" s="3387"/>
      <c r="Z36" s="1575" t="str">
        <f t="shared" si="15"/>
        <v>成新度</v>
      </c>
      <c r="AA36" s="1576" t="e">
        <f t="shared" si="3"/>
        <v>#N/A</v>
      </c>
      <c r="AB36" s="1576" t="e">
        <f t="shared" si="4"/>
        <v>#N/A</v>
      </c>
      <c r="AC36" s="1576"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7"/>
      <c r="Q37" s="1151" t="str">
        <f t="shared" si="11"/>
        <v>市政基础设施</v>
      </c>
      <c r="R37" s="1568" t="s">
        <v>8</v>
      </c>
      <c r="S37" s="1569">
        <f t="shared" si="12"/>
        <v>100</v>
      </c>
      <c r="T37" s="1568" t="s">
        <v>8</v>
      </c>
      <c r="U37" s="1569">
        <f t="shared" si="13"/>
        <v>100</v>
      </c>
      <c r="V37" s="1568" t="s">
        <v>8</v>
      </c>
      <c r="W37" s="1569">
        <f t="shared" si="14"/>
        <v>100</v>
      </c>
      <c r="X37" s="1570"/>
      <c r="Y37" s="3387"/>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7" t="s">
        <v>762</v>
      </c>
      <c r="Q38" s="1572" t="str">
        <f t="shared" si="11"/>
        <v>业态</v>
      </c>
      <c r="R38" s="1573" t="s">
        <v>8</v>
      </c>
      <c r="S38" s="1574">
        <f t="shared" si="12"/>
        <v>100</v>
      </c>
      <c r="T38" s="1573" t="s">
        <v>8</v>
      </c>
      <c r="U38" s="1574">
        <f t="shared" si="13"/>
        <v>100</v>
      </c>
      <c r="V38" s="1573" t="s">
        <v>8</v>
      </c>
      <c r="W38" s="1574">
        <f t="shared" si="14"/>
        <v>100</v>
      </c>
      <c r="X38" s="1567"/>
      <c r="Y38" s="3387"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c r="Q39" s="1572" t="str">
        <f t="shared" si="11"/>
        <v>层高</v>
      </c>
      <c r="R39" s="1573" t="s">
        <v>8</v>
      </c>
      <c r="S39" s="1574">
        <f t="shared" si="12"/>
        <v>100</v>
      </c>
      <c r="T39" s="1573" t="s">
        <v>8</v>
      </c>
      <c r="U39" s="1574">
        <f t="shared" si="13"/>
        <v>100</v>
      </c>
      <c r="V39" s="1573" t="s">
        <v>8</v>
      </c>
      <c r="W39" s="1574">
        <f t="shared" si="14"/>
        <v>100</v>
      </c>
      <c r="X39" s="1567"/>
      <c r="Y39" s="3387"/>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7"/>
      <c r="Q44" s="1151">
        <f t="shared" si="11"/>
        <v>111</v>
      </c>
      <c r="R44" s="1568" t="s">
        <v>8</v>
      </c>
      <c r="S44" s="1569">
        <f t="shared" si="12"/>
        <v>100</v>
      </c>
      <c r="T44" s="1568" t="s">
        <v>8</v>
      </c>
      <c r="U44" s="1569">
        <f t="shared" si="13"/>
        <v>100</v>
      </c>
      <c r="V44" s="1568" t="s">
        <v>8</v>
      </c>
      <c r="W44" s="1569">
        <f t="shared" si="14"/>
        <v>100</v>
      </c>
      <c r="X44" s="1570"/>
      <c r="Y44" s="338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2">
        <f t="shared" si="11"/>
        <v>111</v>
      </c>
      <c r="R46" s="1573" t="s">
        <v>8</v>
      </c>
      <c r="S46" s="1574">
        <f t="shared" si="12"/>
        <v>100</v>
      </c>
      <c r="T46" s="1573" t="s">
        <v>8</v>
      </c>
      <c r="U46" s="1574">
        <f t="shared" si="13"/>
        <v>100</v>
      </c>
      <c r="V46" s="1573" t="s">
        <v>8</v>
      </c>
      <c r="W46" s="1574">
        <f t="shared" si="14"/>
        <v>100</v>
      </c>
      <c r="X46" s="1567"/>
      <c r="Y46" s="3484"/>
      <c r="Z46" s="1575">
        <f t="shared" si="15"/>
        <v>111</v>
      </c>
      <c r="AA46" s="1576">
        <f t="shared" si="3"/>
        <v>1</v>
      </c>
      <c r="AB46" s="1576">
        <f t="shared" si="4"/>
        <v>1</v>
      </c>
      <c r="AC46" s="1576">
        <f t="shared" si="5"/>
        <v>1</v>
      </c>
    </row>
    <row r="47" spans="1:29" ht="15">
      <c r="A47" s="607" t="s">
        <v>732</v>
      </c>
      <c r="B47" s="887"/>
      <c r="C47" s="2627" t="s">
        <v>1</v>
      </c>
      <c r="D47" s="2628"/>
      <c r="E47" s="2629"/>
      <c r="F47" s="2630"/>
      <c r="G47" s="2631"/>
      <c r="H47" s="2632"/>
      <c r="I47" s="2629"/>
      <c r="J47" s="2632"/>
      <c r="K47" s="1611"/>
      <c r="L47" s="2144"/>
      <c r="M47" s="2145"/>
      <c r="N47" s="2134"/>
      <c r="O47" s="2145"/>
      <c r="P47" s="3382" t="str">
        <f>A47</f>
        <v>成交单价（元/平方米）</v>
      </c>
      <c r="Q47" s="3382"/>
      <c r="R47" s="3483">
        <f>E47</f>
        <v>0</v>
      </c>
      <c r="S47" s="3483"/>
      <c r="T47" s="3483">
        <f>G47</f>
        <v>0</v>
      </c>
      <c r="U47" s="3483"/>
      <c r="V47" s="3483">
        <f>I47</f>
        <v>0</v>
      </c>
      <c r="W47" s="3483"/>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12"/>
      <c r="L48" s="2144"/>
      <c r="M48" s="2145"/>
      <c r="N48" s="2134"/>
      <c r="O48" s="2145"/>
      <c r="P48" s="3382" t="str">
        <f>A48</f>
        <v>比较价格（元/平方米）</v>
      </c>
      <c r="Q48" s="33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9"/>
      <c r="Y48" s="1559"/>
      <c r="Z48" s="1559"/>
      <c r="AA48" s="1559"/>
      <c r="AB48" s="1559"/>
      <c r="AC48" s="1559"/>
    </row>
    <row r="49" spans="1:29" ht="15.75" thickBot="1">
      <c r="A49" s="621" t="s">
        <v>2926</v>
      </c>
      <c r="B49" s="622"/>
      <c r="C49" s="2636" t="e">
        <f>R49</f>
        <v>#DIV/0!</v>
      </c>
      <c r="D49" s="2636"/>
      <c r="E49" s="2636"/>
      <c r="F49" s="2636"/>
      <c r="G49" s="2636"/>
      <c r="H49" s="2636"/>
      <c r="I49" s="2636"/>
      <c r="J49" s="2636"/>
      <c r="K49" s="1613"/>
      <c r="L49" s="2144"/>
      <c r="M49" s="2145"/>
      <c r="N49" s="2134"/>
      <c r="O49" s="2145"/>
      <c r="P49" s="3404" t="str">
        <f>A49</f>
        <v>估价对象XX用房的比较价格（楼面单价，元/平方米）</v>
      </c>
      <c r="Q49" s="3405"/>
      <c r="R49" s="3482" t="e">
        <f>IF(F1="售价",ROUND(AVERAGE(R48:V48),0),ROUND(AVERAGE(R48:V48),1))</f>
        <v>#DIV/0!</v>
      </c>
      <c r="S49" s="3482"/>
      <c r="T49" s="3482"/>
      <c r="U49" s="3482"/>
      <c r="V49" s="3482"/>
      <c r="W49" s="348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768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769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770</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771</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772</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4" priority="17" stopIfTrue="1" operator="containsText" text="超过">
      <formula>NOT(ISERROR(SEARCH("超过",F52)))</formula>
    </cfRule>
  </conditionalFormatting>
  <conditionalFormatting sqref="H54">
    <cfRule type="containsText" dxfId="83" priority="15" stopIfTrue="1" operator="containsText" text="超过">
      <formula>NOT(ISERROR(SEARCH("超过",H54)))</formula>
    </cfRule>
  </conditionalFormatting>
  <conditionalFormatting sqref="F54">
    <cfRule type="containsText" dxfId="82" priority="14" stopIfTrue="1" operator="containsText" text="超过">
      <formula>NOT(ISERROR(SEARCH("超过",F54)))</formula>
    </cfRule>
  </conditionalFormatting>
  <conditionalFormatting sqref="F53 H53">
    <cfRule type="containsText" dxfId="81" priority="13" stopIfTrue="1" operator="containsText" text="超过">
      <formula>NOT(ISERROR(SEARCH("超过",F53)))</formula>
    </cfRule>
  </conditionalFormatting>
  <conditionalFormatting sqref="E52">
    <cfRule type="expression" dxfId="80" priority="12" stopIfTrue="1">
      <formula>$F$52="超过30%"</formula>
    </cfRule>
  </conditionalFormatting>
  <conditionalFormatting sqref="E53">
    <cfRule type="expression" dxfId="79" priority="11" stopIfTrue="1">
      <formula>$F$53="超过20%"</formula>
    </cfRule>
  </conditionalFormatting>
  <conditionalFormatting sqref="E54">
    <cfRule type="expression" dxfId="78" priority="10" stopIfTrue="1">
      <formula>$F$54="超过30%"</formula>
    </cfRule>
  </conditionalFormatting>
  <conditionalFormatting sqref="G54">
    <cfRule type="expression" dxfId="77" priority="9" stopIfTrue="1">
      <formula>$H$54="超过30%"</formula>
    </cfRule>
  </conditionalFormatting>
  <conditionalFormatting sqref="G52">
    <cfRule type="expression" dxfId="76" priority="8" stopIfTrue="1">
      <formula>$H$52="超过30%"</formula>
    </cfRule>
  </conditionalFormatting>
  <conditionalFormatting sqref="G53">
    <cfRule type="expression" dxfId="75" priority="7" stopIfTrue="1">
      <formula>$H$53="超过20%"</formula>
    </cfRule>
  </conditionalFormatting>
  <conditionalFormatting sqref="J52">
    <cfRule type="containsText" dxfId="74" priority="6" stopIfTrue="1" operator="containsText" text="超过">
      <formula>NOT(ISERROR(SEARCH("超过",J52)))</formula>
    </cfRule>
  </conditionalFormatting>
  <conditionalFormatting sqref="J54">
    <cfRule type="containsText" dxfId="73" priority="5" stopIfTrue="1" operator="containsText" text="超过">
      <formula>NOT(ISERROR(SEARCH("超过",J54)))</formula>
    </cfRule>
  </conditionalFormatting>
  <conditionalFormatting sqref="J53">
    <cfRule type="containsText" dxfId="72" priority="4" stopIfTrue="1" operator="containsText" text="超过">
      <formula>NOT(ISERROR(SEARCH("超过",J53)))</formula>
    </cfRule>
  </conditionalFormatting>
  <conditionalFormatting sqref="I52">
    <cfRule type="expression" dxfId="71" priority="3" stopIfTrue="1">
      <formula>$J$52="超过30%"</formula>
    </cfRule>
  </conditionalFormatting>
  <conditionalFormatting sqref="I53">
    <cfRule type="expression" dxfId="70" priority="2" stopIfTrue="1">
      <formula>$J$53="超过20%"</formula>
    </cfRule>
  </conditionalFormatting>
  <conditionalFormatting sqref="I54">
    <cfRule type="expression" dxfId="6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7" spans="1:4" ht="93.75">
      <c r="A7" s="2873" t="s">
        <v>2745</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2069</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33824.92平方米。根据《建设工程规划许可证》[2018规土（通）建字0031号]、《国有建设用地使用权出让合同》[电子监管号：1101002018B00580]，估价对象规划建筑面积为124921.5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875" t="s">
        <v>2746</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07"/>
      <c r="G1" s="1601" t="s">
        <v>717</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517</v>
      </c>
      <c r="B4" s="513"/>
      <c r="C4" s="3388" t="s">
        <v>518</v>
      </c>
      <c r="D4" s="3389"/>
      <c r="E4" s="3413" t="s">
        <v>519</v>
      </c>
      <c r="F4" s="3414"/>
      <c r="G4" s="3388" t="s">
        <v>520</v>
      </c>
      <c r="H4" s="3389"/>
      <c r="I4" s="3388" t="s">
        <v>521</v>
      </c>
      <c r="J4" s="3389"/>
      <c r="K4" s="514" t="s">
        <v>522</v>
      </c>
      <c r="L4" s="2133"/>
      <c r="M4" s="2134"/>
      <c r="N4" s="2134"/>
      <c r="O4" s="2134"/>
      <c r="P4" s="3485" t="s">
        <v>523</v>
      </c>
      <c r="Q4" s="3391"/>
      <c r="R4" s="3376" t="s">
        <v>519</v>
      </c>
      <c r="S4" s="3377"/>
      <c r="T4" s="3376" t="s">
        <v>520</v>
      </c>
      <c r="U4" s="3377"/>
      <c r="V4" s="3396" t="s">
        <v>521</v>
      </c>
      <c r="W4" s="3396"/>
      <c r="X4" s="1567"/>
      <c r="Y4" s="3376" t="s">
        <v>523</v>
      </c>
      <c r="Z4" s="3377"/>
      <c r="AA4" s="3371" t="s">
        <v>519</v>
      </c>
      <c r="AB4" s="3371" t="s">
        <v>520</v>
      </c>
      <c r="AC4" s="3371" t="s">
        <v>521</v>
      </c>
    </row>
    <row r="5" spans="1:29" ht="15">
      <c r="A5" s="515"/>
      <c r="B5" s="516"/>
      <c r="C5" s="3399" t="s">
        <v>2920</v>
      </c>
      <c r="D5" s="3400"/>
      <c r="E5" s="3415" t="s">
        <v>2921</v>
      </c>
      <c r="F5" s="3416"/>
      <c r="G5" s="3399" t="s">
        <v>2922</v>
      </c>
      <c r="H5" s="3400"/>
      <c r="I5" s="3399" t="s">
        <v>2923</v>
      </c>
      <c r="J5" s="3400"/>
      <c r="K5" s="514"/>
      <c r="L5" s="2133"/>
      <c r="M5" s="2134"/>
      <c r="N5" s="2134"/>
      <c r="O5" s="2134"/>
      <c r="P5" s="3486"/>
      <c r="Q5" s="3393"/>
      <c r="R5" s="3378"/>
      <c r="S5" s="3379"/>
      <c r="T5" s="3378"/>
      <c r="U5" s="3379"/>
      <c r="V5" s="3396"/>
      <c r="W5" s="3396"/>
      <c r="X5" s="1567"/>
      <c r="Y5" s="3378"/>
      <c r="Z5" s="3379"/>
      <c r="AA5" s="3372"/>
      <c r="AB5" s="3372"/>
      <c r="AC5" s="3372"/>
    </row>
    <row r="6" spans="1:29" ht="15.75" thickBot="1">
      <c r="A6" s="517"/>
      <c r="B6" s="518"/>
      <c r="C6" s="3397" t="s">
        <v>2924</v>
      </c>
      <c r="D6" s="3398"/>
      <c r="E6" s="3417" t="s">
        <v>2924</v>
      </c>
      <c r="F6" s="3418"/>
      <c r="G6" s="3397" t="s">
        <v>2924</v>
      </c>
      <c r="H6" s="3398"/>
      <c r="I6" s="3397" t="s">
        <v>2924</v>
      </c>
      <c r="J6" s="3398"/>
      <c r="K6" s="514" t="s">
        <v>524</v>
      </c>
      <c r="L6" s="2133"/>
      <c r="M6" s="2134"/>
      <c r="N6" s="2134"/>
      <c r="O6" s="2134"/>
      <c r="P6" s="3487"/>
      <c r="Q6" s="3395"/>
      <c r="R6" s="3378"/>
      <c r="S6" s="3379"/>
      <c r="T6" s="3380"/>
      <c r="U6" s="3381"/>
      <c r="V6" s="3396"/>
      <c r="W6" s="3396"/>
      <c r="X6" s="1567"/>
      <c r="Y6" s="3380"/>
      <c r="Z6" s="3381"/>
      <c r="AA6" s="3373"/>
      <c r="AB6" s="3373"/>
      <c r="AC6" s="3373"/>
    </row>
    <row r="7" spans="1:29" s="1220" customFormat="1" ht="15.75" thickBot="1">
      <c r="A7" s="2912"/>
      <c r="B7" s="2919" t="s">
        <v>525</v>
      </c>
      <c r="C7" s="519">
        <f>'数据-取费表'!B2</f>
        <v>43427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3" t="s">
        <v>526</v>
      </c>
      <c r="Q7" s="3383"/>
      <c r="R7" s="1568" t="s">
        <v>8</v>
      </c>
      <c r="S7" s="1569">
        <f t="shared" ref="S7:S15" si="0">F7</f>
        <v>0</v>
      </c>
      <c r="T7" s="1568" t="s">
        <v>8</v>
      </c>
      <c r="U7" s="1569">
        <f t="shared" ref="U7:U15" si="1">H7</f>
        <v>0</v>
      </c>
      <c r="V7" s="1568" t="s">
        <v>8</v>
      </c>
      <c r="W7" s="1569">
        <f t="shared" ref="W7:W15" si="2">J7</f>
        <v>0</v>
      </c>
      <c r="X7" s="1570"/>
      <c r="Y7" s="3374" t="s">
        <v>526</v>
      </c>
      <c r="Z7" s="3375"/>
      <c r="AA7" s="1571" t="e">
        <f>D7/F7</f>
        <v>#DIV/0!</v>
      </c>
      <c r="AB7" s="1571" t="e">
        <f>D7/H7</f>
        <v>#DIV/0!</v>
      </c>
      <c r="AC7" s="1571" t="e">
        <f>D7/J7</f>
        <v>#DIV/0!</v>
      </c>
    </row>
    <row r="8" spans="1:29" s="1220" customFormat="1" ht="15.75" thickBot="1">
      <c r="A8" s="2913"/>
      <c r="B8" s="2920" t="s">
        <v>527</v>
      </c>
      <c r="C8" s="525" t="s">
        <v>572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3" t="s">
        <v>529</v>
      </c>
      <c r="Q8" s="3375"/>
      <c r="R8" s="1568" t="s">
        <v>8</v>
      </c>
      <c r="S8" s="1569">
        <f t="shared" si="0"/>
        <v>0</v>
      </c>
      <c r="T8" s="1568" t="s">
        <v>8</v>
      </c>
      <c r="U8" s="1569">
        <f t="shared" si="1"/>
        <v>0</v>
      </c>
      <c r="V8" s="1568" t="s">
        <v>8</v>
      </c>
      <c r="W8" s="1569">
        <f t="shared" si="2"/>
        <v>0</v>
      </c>
      <c r="X8" s="1570"/>
      <c r="Y8" s="3374" t="s">
        <v>529</v>
      </c>
      <c r="Z8" s="3375"/>
      <c r="AA8" s="1571" t="e">
        <f t="shared" ref="AA8:AA47" si="3">D8/F8</f>
        <v>#DIV/0!</v>
      </c>
      <c r="AB8" s="1571" t="e">
        <f t="shared" ref="AB8:AB47" si="4">D8/H8</f>
        <v>#DIV/0!</v>
      </c>
      <c r="AC8" s="1571"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2" t="s">
        <v>531</v>
      </c>
      <c r="Q9" s="1151" t="str">
        <f t="shared" ref="Q9:Q15" si="6">B9</f>
        <v>用途</v>
      </c>
      <c r="R9" s="1568" t="s">
        <v>8</v>
      </c>
      <c r="S9" s="1569">
        <f t="shared" si="0"/>
        <v>100</v>
      </c>
      <c r="T9" s="1568" t="s">
        <v>8</v>
      </c>
      <c r="U9" s="1569">
        <f t="shared" si="1"/>
        <v>100</v>
      </c>
      <c r="V9" s="1568" t="s">
        <v>8</v>
      </c>
      <c r="W9" s="1569">
        <f t="shared" si="2"/>
        <v>100</v>
      </c>
      <c r="X9" s="1570"/>
      <c r="Y9" s="333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2"/>
      <c r="Q11" s="1151" t="str">
        <f t="shared" si="6"/>
        <v>容积率</v>
      </c>
      <c r="R11" s="1568" t="s">
        <v>8</v>
      </c>
      <c r="S11" s="1569" t="e">
        <f t="shared" si="0"/>
        <v>#N/A</v>
      </c>
      <c r="T11" s="1568" t="s">
        <v>8</v>
      </c>
      <c r="U11" s="1569" t="e">
        <f t="shared" si="1"/>
        <v>#N/A</v>
      </c>
      <c r="V11" s="1568" t="s">
        <v>8</v>
      </c>
      <c r="W11" s="1569" t="e">
        <f t="shared" si="2"/>
        <v>#N/A</v>
      </c>
      <c r="X11" s="1570"/>
      <c r="Y11" s="333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2"/>
      <c r="Q12" s="1151">
        <f t="shared" si="6"/>
        <v>111</v>
      </c>
      <c r="R12" s="1568" t="s">
        <v>8</v>
      </c>
      <c r="S12" s="1569">
        <f t="shared" si="0"/>
        <v>100</v>
      </c>
      <c r="T12" s="1568" t="s">
        <v>8</v>
      </c>
      <c r="U12" s="1569">
        <f t="shared" si="1"/>
        <v>100</v>
      </c>
      <c r="V12" s="1568" t="s">
        <v>8</v>
      </c>
      <c r="W12" s="1569">
        <f t="shared" si="2"/>
        <v>100</v>
      </c>
      <c r="X12" s="1570"/>
      <c r="Y12" s="3339"/>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2"/>
      <c r="Q13" s="1151">
        <f t="shared" si="6"/>
        <v>111</v>
      </c>
      <c r="R13" s="1568" t="s">
        <v>8</v>
      </c>
      <c r="S13" s="1569">
        <f t="shared" si="0"/>
        <v>100</v>
      </c>
      <c r="T13" s="1568" t="s">
        <v>8</v>
      </c>
      <c r="U13" s="1569">
        <f t="shared" si="1"/>
        <v>100</v>
      </c>
      <c r="V13" s="1568" t="s">
        <v>8</v>
      </c>
      <c r="W13" s="1569">
        <f t="shared" si="2"/>
        <v>100</v>
      </c>
      <c r="X13" s="1570"/>
      <c r="Y13" s="3339"/>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2"/>
      <c r="Q14" s="1151">
        <f t="shared" si="6"/>
        <v>111</v>
      </c>
      <c r="R14" s="1568" t="s">
        <v>8</v>
      </c>
      <c r="S14" s="1569">
        <f t="shared" si="0"/>
        <v>100</v>
      </c>
      <c r="T14" s="1568" t="s">
        <v>8</v>
      </c>
      <c r="U14" s="1569">
        <f t="shared" si="1"/>
        <v>100</v>
      </c>
      <c r="V14" s="1568" t="s">
        <v>8</v>
      </c>
      <c r="W14" s="1569">
        <f t="shared" si="2"/>
        <v>100</v>
      </c>
      <c r="X14" s="1570"/>
      <c r="Y14" s="3339"/>
      <c r="Z14" s="1150">
        <f t="shared" si="7"/>
        <v>111</v>
      </c>
      <c r="AA14" s="1571">
        <f t="shared" si="3"/>
        <v>1</v>
      </c>
      <c r="AB14" s="1571">
        <f t="shared" si="4"/>
        <v>1</v>
      </c>
      <c r="AC14" s="1571">
        <f t="shared" si="5"/>
        <v>1</v>
      </c>
    </row>
    <row r="15" spans="1:29" ht="71.25">
      <c r="A15" s="2910" t="s">
        <v>2751</v>
      </c>
      <c r="B15" s="547" t="s">
        <v>538</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4" t="s">
        <v>536</v>
      </c>
      <c r="Q15" s="1572" t="str">
        <f t="shared" si="6"/>
        <v>办公集聚程度</v>
      </c>
      <c r="R15" s="1573" t="s">
        <v>8</v>
      </c>
      <c r="S15" s="1574">
        <f t="shared" si="0"/>
        <v>100</v>
      </c>
      <c r="T15" s="1573" t="s">
        <v>8</v>
      </c>
      <c r="U15" s="1574">
        <f t="shared" si="1"/>
        <v>100</v>
      </c>
      <c r="V15" s="1573" t="s">
        <v>8</v>
      </c>
      <c r="W15" s="1574">
        <f t="shared" si="2"/>
        <v>100</v>
      </c>
      <c r="X15" s="1567"/>
      <c r="Y15" s="3384"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85"/>
      <c r="Q16" s="1572"/>
      <c r="R16" s="1573"/>
      <c r="S16" s="1574"/>
      <c r="T16" s="1573"/>
      <c r="U16" s="1574"/>
      <c r="V16" s="1573"/>
      <c r="W16" s="1574"/>
      <c r="X16" s="1567"/>
      <c r="Y16" s="3385"/>
      <c r="Z16" s="1575"/>
      <c r="AA16" s="1576">
        <v>1</v>
      </c>
      <c r="AB16" s="1576">
        <v>1</v>
      </c>
      <c r="AC16" s="1576">
        <v>1</v>
      </c>
    </row>
    <row r="17" spans="1:29" ht="85.5">
      <c r="A17" s="532"/>
      <c r="B17" s="560" t="s">
        <v>295</v>
      </c>
      <c r="C17" s="573" t="str">
        <f>估价对象房地状况!C6</f>
        <v>估价对象周边道路状况一般，周边有820路;986路;郊87路等多条公交线路及地铁亦庄线经过，路网密集度一般，综合考虑估价对象交通便捷度较好。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85"/>
      <c r="Q18" s="1572"/>
      <c r="R18" s="1573"/>
      <c r="S18" s="1574"/>
      <c r="T18" s="1573"/>
      <c r="U18" s="1574"/>
      <c r="V18" s="1573"/>
      <c r="W18" s="1574"/>
      <c r="X18" s="1567"/>
      <c r="Y18" s="3385"/>
      <c r="Z18" s="1575"/>
      <c r="AA18" s="1576">
        <v>1</v>
      </c>
      <c r="AB18" s="1576">
        <v>1</v>
      </c>
      <c r="AC18" s="1576">
        <v>1</v>
      </c>
    </row>
    <row r="19" spans="1:29" ht="42.75">
      <c r="A19" s="532"/>
      <c r="B19" s="2603"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85"/>
      <c r="Q20" s="1572"/>
      <c r="R20" s="1573"/>
      <c r="S20" s="1574"/>
      <c r="T20" s="1573"/>
      <c r="U20" s="1574"/>
      <c r="V20" s="1573"/>
      <c r="W20" s="1574"/>
      <c r="X20" s="1567"/>
      <c r="Y20" s="3385"/>
      <c r="Z20" s="1575"/>
      <c r="AA20" s="1576">
        <v>1</v>
      </c>
      <c r="AB20" s="1576">
        <v>1</v>
      </c>
      <c r="AC20" s="1576">
        <v>1</v>
      </c>
    </row>
    <row r="21" spans="1:29" ht="28.5">
      <c r="A21" s="532"/>
      <c r="B21" s="2591" t="s">
        <v>2556</v>
      </c>
      <c r="C21" s="573" t="str">
        <f>估价对象房地状况!C8</f>
        <v>估价对象所在区域基础设施水平达七通。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5"/>
      <c r="Q21" s="2579" t="str">
        <f>B21</f>
        <v>基础设施水平</v>
      </c>
      <c r="R21" s="1573" t="s">
        <v>8</v>
      </c>
      <c r="S21" s="1574">
        <f>F21</f>
        <v>100</v>
      </c>
      <c r="T21" s="1573" t="s">
        <v>8</v>
      </c>
      <c r="U21" s="1574">
        <f>H21</f>
        <v>100</v>
      </c>
      <c r="V21" s="1573" t="s">
        <v>8</v>
      </c>
      <c r="W21" s="1574">
        <f>J21</f>
        <v>100</v>
      </c>
      <c r="X21" s="2581"/>
      <c r="Y21" s="3385"/>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85"/>
      <c r="Q22" s="2579"/>
      <c r="R22" s="1573"/>
      <c r="S22" s="1574"/>
      <c r="T22" s="1573"/>
      <c r="U22" s="1574"/>
      <c r="V22" s="1573"/>
      <c r="W22" s="1574"/>
      <c r="X22" s="2581"/>
      <c r="Y22" s="3385"/>
      <c r="Z22" s="2580"/>
      <c r="AA22" s="1576">
        <v>1</v>
      </c>
      <c r="AB22" s="1576">
        <v>1</v>
      </c>
      <c r="AC22" s="1576">
        <v>1</v>
      </c>
    </row>
    <row r="23" spans="1:29" ht="57">
      <c r="A23" s="532"/>
      <c r="B23" s="560" t="s">
        <v>774</v>
      </c>
      <c r="C23" s="573" t="str">
        <f>估价对象房地状况!C9</f>
        <v>估价对象周边2公里内有亦庄湿地公园等，综合考虑自然及人文环境一般。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85"/>
      <c r="Q24" s="1572"/>
      <c r="R24" s="1573"/>
      <c r="S24" s="1574"/>
      <c r="T24" s="1573"/>
      <c r="U24" s="1574"/>
      <c r="V24" s="1573"/>
      <c r="W24" s="1574"/>
      <c r="X24" s="1567"/>
      <c r="Y24" s="3385"/>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85"/>
      <c r="Q26" s="1572"/>
      <c r="R26" s="1573"/>
      <c r="S26" s="1574"/>
      <c r="T26" s="1573"/>
      <c r="U26" s="1574"/>
      <c r="V26" s="1573"/>
      <c r="W26" s="1574"/>
      <c r="X26" s="1567"/>
      <c r="Y26" s="3385"/>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5"/>
      <c r="Q28" s="1151" t="str">
        <f t="shared" si="11"/>
        <v>朝向</v>
      </c>
      <c r="R28" s="1568" t="s">
        <v>8</v>
      </c>
      <c r="S28" s="1569">
        <f>F28</f>
        <v>100</v>
      </c>
      <c r="T28" s="1568" t="s">
        <v>8</v>
      </c>
      <c r="U28" s="1569">
        <f>H28</f>
        <v>100</v>
      </c>
      <c r="V28" s="1568" t="s">
        <v>8</v>
      </c>
      <c r="W28" s="1569">
        <f>J28</f>
        <v>100</v>
      </c>
      <c r="X28" s="1570"/>
      <c r="Y28" s="338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907" t="s">
        <v>2752</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6" t="s">
        <v>546</v>
      </c>
      <c r="Q33" s="1572" t="str">
        <f t="shared" si="11"/>
        <v>建筑类型</v>
      </c>
      <c r="R33" s="1573" t="s">
        <v>8</v>
      </c>
      <c r="S33" s="1574">
        <f t="shared" si="12"/>
        <v>100</v>
      </c>
      <c r="T33" s="1573" t="s">
        <v>8</v>
      </c>
      <c r="U33" s="1574">
        <f t="shared" si="13"/>
        <v>100</v>
      </c>
      <c r="V33" s="1573" t="s">
        <v>8</v>
      </c>
      <c r="W33" s="1574">
        <f t="shared" si="14"/>
        <v>100</v>
      </c>
      <c r="X33" s="1567"/>
      <c r="Y33" s="3387"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7"/>
      <c r="Q38" s="1151" t="str">
        <f t="shared" si="11"/>
        <v>写字楼等级</v>
      </c>
      <c r="R38" s="1568" t="s">
        <v>8</v>
      </c>
      <c r="S38" s="1569">
        <f t="shared" si="12"/>
        <v>100</v>
      </c>
      <c r="T38" s="1568" t="s">
        <v>8</v>
      </c>
      <c r="U38" s="1569">
        <f t="shared" si="13"/>
        <v>100</v>
      </c>
      <c r="V38" s="1568" t="s">
        <v>8</v>
      </c>
      <c r="W38" s="1569">
        <f t="shared" si="14"/>
        <v>100</v>
      </c>
      <c r="X38" s="1570"/>
      <c r="Y38" s="3387"/>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7" t="s">
        <v>546</v>
      </c>
      <c r="Q39" s="1572" t="str">
        <f t="shared" si="11"/>
        <v>物业管理</v>
      </c>
      <c r="R39" s="1573" t="s">
        <v>8</v>
      </c>
      <c r="S39" s="1574">
        <f t="shared" si="12"/>
        <v>100</v>
      </c>
      <c r="T39" s="1573" t="s">
        <v>8</v>
      </c>
      <c r="U39" s="1574">
        <f t="shared" si="13"/>
        <v>100</v>
      </c>
      <c r="V39" s="1573" t="s">
        <v>8</v>
      </c>
      <c r="W39" s="1574">
        <f t="shared" si="14"/>
        <v>100</v>
      </c>
      <c r="X39" s="1567"/>
      <c r="Y39" s="3387" t="s">
        <v>546</v>
      </c>
      <c r="Z39" s="1575" t="str">
        <f t="shared" si="15"/>
        <v>物业管理</v>
      </c>
      <c r="AA39" s="1576">
        <f t="shared" si="3"/>
        <v>1</v>
      </c>
      <c r="AB39" s="1576">
        <f t="shared" si="4"/>
        <v>1</v>
      </c>
      <c r="AC39" s="1576">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7"/>
      <c r="Q45" s="1151">
        <f t="shared" si="11"/>
        <v>111</v>
      </c>
      <c r="R45" s="1568" t="s">
        <v>8</v>
      </c>
      <c r="S45" s="1569">
        <f t="shared" si="12"/>
        <v>100</v>
      </c>
      <c r="T45" s="1568" t="s">
        <v>8</v>
      </c>
      <c r="U45" s="1569">
        <f t="shared" si="13"/>
        <v>100</v>
      </c>
      <c r="V45" s="1568" t="s">
        <v>8</v>
      </c>
      <c r="W45" s="1569">
        <f t="shared" si="14"/>
        <v>100</v>
      </c>
      <c r="X45" s="1570"/>
      <c r="Y45" s="338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2">
        <f t="shared" si="11"/>
        <v>111</v>
      </c>
      <c r="R47" s="1573" t="s">
        <v>8</v>
      </c>
      <c r="S47" s="1574">
        <f t="shared" si="12"/>
        <v>100</v>
      </c>
      <c r="T47" s="1573" t="s">
        <v>8</v>
      </c>
      <c r="U47" s="1574">
        <f t="shared" si="13"/>
        <v>100</v>
      </c>
      <c r="V47" s="1573" t="s">
        <v>8</v>
      </c>
      <c r="W47" s="1574">
        <f t="shared" si="14"/>
        <v>100</v>
      </c>
      <c r="X47" s="1567"/>
      <c r="Y47" s="3484"/>
      <c r="Z47" s="1575">
        <f t="shared" si="15"/>
        <v>111</v>
      </c>
      <c r="AA47" s="1576">
        <f t="shared" si="3"/>
        <v>1</v>
      </c>
      <c r="AB47" s="1576">
        <f t="shared" si="4"/>
        <v>1</v>
      </c>
      <c r="AC47" s="1576">
        <f t="shared" si="5"/>
        <v>1</v>
      </c>
    </row>
    <row r="48" spans="1:29" ht="15">
      <c r="A48" s="607" t="s">
        <v>732</v>
      </c>
      <c r="B48" s="887"/>
      <c r="C48" s="2627" t="s">
        <v>1</v>
      </c>
      <c r="D48" s="2628"/>
      <c r="E48" s="2629"/>
      <c r="F48" s="2630"/>
      <c r="G48" s="2631"/>
      <c r="H48" s="2632"/>
      <c r="I48" s="2629"/>
      <c r="J48" s="2632"/>
      <c r="K48" s="1611"/>
      <c r="L48" s="2144"/>
      <c r="M48" s="2134"/>
      <c r="N48" s="2134"/>
      <c r="O48" s="2134"/>
      <c r="P48" s="3405" t="str">
        <f>A48</f>
        <v>成交单价（元/平方米）</v>
      </c>
      <c r="Q48" s="3382"/>
      <c r="R48" s="3483">
        <f>E48</f>
        <v>0</v>
      </c>
      <c r="S48" s="3483"/>
      <c r="T48" s="3483">
        <f>G48</f>
        <v>0</v>
      </c>
      <c r="U48" s="3483"/>
      <c r="V48" s="3483">
        <f>I48</f>
        <v>0</v>
      </c>
      <c r="W48" s="3483"/>
      <c r="X48" s="1559"/>
      <c r="Y48" s="1581"/>
      <c r="Z48" s="1559"/>
      <c r="AA48" s="1559"/>
      <c r="AB48" s="1559"/>
      <c r="AC48" s="1559"/>
    </row>
    <row r="49" spans="1:29" ht="15.75" thickBot="1">
      <c r="A49" s="615" t="s">
        <v>2757</v>
      </c>
      <c r="B49" s="888"/>
      <c r="C49" s="2633" t="e">
        <f>R50</f>
        <v>#DIV/0!</v>
      </c>
      <c r="D49" s="2634"/>
      <c r="E49" s="2635" t="e">
        <f>R49</f>
        <v>#DIV/0!</v>
      </c>
      <c r="F49" s="2635"/>
      <c r="G49" s="2633" t="e">
        <f>T49</f>
        <v>#DIV/0!</v>
      </c>
      <c r="H49" s="2634"/>
      <c r="I49" s="2635" t="e">
        <f>V49</f>
        <v>#DIV/0!</v>
      </c>
      <c r="J49" s="2634"/>
      <c r="K49" s="1612"/>
      <c r="L49" s="2144"/>
      <c r="M49" s="2134"/>
      <c r="N49" s="2134"/>
      <c r="O49" s="2134"/>
      <c r="P49" s="3405" t="str">
        <f>A49</f>
        <v>比较价格（元/平方米）</v>
      </c>
      <c r="Q49" s="33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9"/>
      <c r="Y49" s="1559"/>
      <c r="Z49" s="1559"/>
      <c r="AA49" s="1559"/>
      <c r="AB49" s="1559"/>
      <c r="AC49" s="1559"/>
    </row>
    <row r="50" spans="1:29" ht="15.75" thickBot="1">
      <c r="A50" s="621" t="s">
        <v>2926</v>
      </c>
      <c r="B50" s="622"/>
      <c r="C50" s="2636" t="e">
        <f>R50</f>
        <v>#DIV/0!</v>
      </c>
      <c r="D50" s="2636"/>
      <c r="E50" s="2636"/>
      <c r="F50" s="2636"/>
      <c r="G50" s="2636"/>
      <c r="H50" s="2636"/>
      <c r="I50" s="2636"/>
      <c r="J50" s="2636"/>
      <c r="K50" s="1613"/>
      <c r="L50" s="2144"/>
      <c r="M50" s="2134"/>
      <c r="N50" s="2134"/>
      <c r="O50" s="2134"/>
      <c r="P50" s="3488" t="str">
        <f>A50</f>
        <v>估价对象XX用房的比较价格（楼面单价，元/平方米）</v>
      </c>
      <c r="Q50" s="3405"/>
      <c r="R50" s="3482" t="e">
        <f>IF(F1="售价",ROUND(AVERAGE(R49:V49),0),ROUND(AVERAGE(R49:V49),1))</f>
        <v>#DIV/0!</v>
      </c>
      <c r="S50" s="3482"/>
      <c r="T50" s="3482"/>
      <c r="U50" s="3482"/>
      <c r="V50" s="3482"/>
      <c r="W50" s="3482"/>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525</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571</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527</v>
      </c>
      <c r="B62" s="648"/>
      <c r="C62" s="660" t="s">
        <v>572</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573</v>
      </c>
      <c r="B64" s="665" t="s">
        <v>530</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535</v>
      </c>
      <c r="B77" s="665" t="s">
        <v>581</v>
      </c>
      <c r="C77" s="703" t="s">
        <v>575</v>
      </c>
      <c r="D77" s="703" t="s">
        <v>576</v>
      </c>
      <c r="E77" s="703" t="s">
        <v>577</v>
      </c>
      <c r="F77" s="703" t="s">
        <v>578</v>
      </c>
      <c r="G77" s="703" t="s">
        <v>579</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582</v>
      </c>
      <c r="C79" s="708" t="s">
        <v>575</v>
      </c>
      <c r="D79" s="708" t="s">
        <v>576</v>
      </c>
      <c r="E79" s="708" t="s">
        <v>577</v>
      </c>
      <c r="F79" s="708" t="s">
        <v>578</v>
      </c>
      <c r="G79" s="708" t="s">
        <v>579</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575</v>
      </c>
      <c r="D81" s="708" t="s">
        <v>576</v>
      </c>
      <c r="E81" s="708" t="s">
        <v>577</v>
      </c>
      <c r="F81" s="708" t="s">
        <v>578</v>
      </c>
      <c r="G81" s="708" t="s">
        <v>579</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780</v>
      </c>
      <c r="C85" s="708" t="s">
        <v>575</v>
      </c>
      <c r="D85" s="708" t="s">
        <v>576</v>
      </c>
      <c r="E85" s="708" t="s">
        <v>577</v>
      </c>
      <c r="F85" s="708" t="s">
        <v>578</v>
      </c>
      <c r="G85" s="708" t="s">
        <v>579</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781</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547</v>
      </c>
      <c r="B101" s="665" t="s">
        <v>743</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745</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747</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782</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749</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783</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771</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751</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8" priority="16" stopIfTrue="1" operator="containsText" text="超过">
      <formula>NOT(ISERROR(SEARCH("超过",F53)))</formula>
    </cfRule>
  </conditionalFormatting>
  <conditionalFormatting sqref="H55">
    <cfRule type="containsText" dxfId="67" priority="15" stopIfTrue="1" operator="containsText" text="超过">
      <formula>NOT(ISERROR(SEARCH("超过",H55)))</formula>
    </cfRule>
  </conditionalFormatting>
  <conditionalFormatting sqref="F55">
    <cfRule type="containsText" dxfId="66" priority="14" stopIfTrue="1" operator="containsText" text="超过">
      <formula>NOT(ISERROR(SEARCH("超过",F55)))</formula>
    </cfRule>
  </conditionalFormatting>
  <conditionalFormatting sqref="F54 H54">
    <cfRule type="containsText" dxfId="65" priority="13" stopIfTrue="1" operator="containsText" text="超过">
      <formula>NOT(ISERROR(SEARCH("超过",F54)))</formula>
    </cfRule>
  </conditionalFormatting>
  <conditionalFormatting sqref="E53">
    <cfRule type="expression" dxfId="64" priority="12" stopIfTrue="1">
      <formula>$F$53="超过30%"</formula>
    </cfRule>
  </conditionalFormatting>
  <conditionalFormatting sqref="E54">
    <cfRule type="expression" dxfId="63" priority="11" stopIfTrue="1">
      <formula>$F$54="超过20%"</formula>
    </cfRule>
  </conditionalFormatting>
  <conditionalFormatting sqref="E55">
    <cfRule type="expression" dxfId="62" priority="10" stopIfTrue="1">
      <formula>$F$55="超过30%"</formula>
    </cfRule>
  </conditionalFormatting>
  <conditionalFormatting sqref="G55">
    <cfRule type="expression" dxfId="61" priority="9" stopIfTrue="1">
      <formula>$H$55="超过30%"</formula>
    </cfRule>
  </conditionalFormatting>
  <conditionalFormatting sqref="G53">
    <cfRule type="expression" dxfId="60" priority="8" stopIfTrue="1">
      <formula>$H$53="超过30%"</formula>
    </cfRule>
  </conditionalFormatting>
  <conditionalFormatting sqref="G54">
    <cfRule type="expression" dxfId="59" priority="7" stopIfTrue="1">
      <formula>$H$54="超过20%"</formula>
    </cfRule>
  </conditionalFormatting>
  <conditionalFormatting sqref="J53">
    <cfRule type="containsText" dxfId="58" priority="6" stopIfTrue="1" operator="containsText" text="超过">
      <formula>NOT(ISERROR(SEARCH("超过",J53)))</formula>
    </cfRule>
  </conditionalFormatting>
  <conditionalFormatting sqref="J55">
    <cfRule type="containsText" dxfId="57" priority="5" stopIfTrue="1" operator="containsText" text="超过">
      <formula>NOT(ISERROR(SEARCH("超过",J55)))</formula>
    </cfRule>
  </conditionalFormatting>
  <conditionalFormatting sqref="J54">
    <cfRule type="containsText" dxfId="56" priority="4" stopIfTrue="1" operator="containsText" text="超过">
      <formula>NOT(ISERROR(SEARCH("超过",J54)))</formula>
    </cfRule>
  </conditionalFormatting>
  <conditionalFormatting sqref="I53">
    <cfRule type="expression" dxfId="55" priority="3" stopIfTrue="1">
      <formula>$J$53="超过30%"</formula>
    </cfRule>
  </conditionalFormatting>
  <conditionalFormatting sqref="I54">
    <cfRule type="expression" dxfId="54" priority="2" stopIfTrue="1">
      <formula>$J$53+$J$54="超过20%"</formula>
    </cfRule>
  </conditionalFormatting>
  <conditionalFormatting sqref="I55">
    <cfRule type="expression" dxfId="5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463</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517</v>
      </c>
      <c r="B4" s="513"/>
      <c r="C4" s="3388" t="s">
        <v>518</v>
      </c>
      <c r="D4" s="3389"/>
      <c r="E4" s="3413" t="s">
        <v>519</v>
      </c>
      <c r="F4" s="3414"/>
      <c r="G4" s="3388" t="s">
        <v>520</v>
      </c>
      <c r="H4" s="3389"/>
      <c r="I4" s="3388" t="s">
        <v>521</v>
      </c>
      <c r="J4" s="3389"/>
      <c r="K4" s="514"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72" t="s">
        <v>520</v>
      </c>
      <c r="AC4" s="3371" t="s">
        <v>521</v>
      </c>
    </row>
    <row r="5" spans="1:29" ht="15">
      <c r="A5" s="515"/>
      <c r="B5" s="516"/>
      <c r="C5" s="3399" t="s">
        <v>2920</v>
      </c>
      <c r="D5" s="3400"/>
      <c r="E5" s="3415" t="s">
        <v>2921</v>
      </c>
      <c r="F5" s="3416"/>
      <c r="G5" s="3399" t="s">
        <v>2922</v>
      </c>
      <c r="H5" s="3400"/>
      <c r="I5" s="3399" t="s">
        <v>2923</v>
      </c>
      <c r="J5" s="3400"/>
      <c r="K5" s="514"/>
      <c r="L5" s="2133"/>
      <c r="M5" s="2134"/>
      <c r="N5" s="2134"/>
      <c r="O5" s="2134"/>
      <c r="P5" s="3392"/>
      <c r="Q5" s="3393"/>
      <c r="R5" s="3378"/>
      <c r="S5" s="3379"/>
      <c r="T5" s="3378"/>
      <c r="U5" s="3379"/>
      <c r="V5" s="3396"/>
      <c r="W5" s="3396"/>
      <c r="X5" s="1567"/>
      <c r="Y5" s="3378"/>
      <c r="Z5" s="3379"/>
      <c r="AA5" s="3372"/>
      <c r="AB5" s="3372"/>
      <c r="AC5" s="3372"/>
    </row>
    <row r="6" spans="1:29" ht="15.75" thickBot="1">
      <c r="A6" s="517"/>
      <c r="B6" s="518"/>
      <c r="C6" s="3397" t="s">
        <v>2924</v>
      </c>
      <c r="D6" s="3398"/>
      <c r="E6" s="3417" t="s">
        <v>2924</v>
      </c>
      <c r="F6" s="3418"/>
      <c r="G6" s="3397" t="s">
        <v>2924</v>
      </c>
      <c r="H6" s="3398"/>
      <c r="I6" s="3397" t="s">
        <v>2924</v>
      </c>
      <c r="J6" s="3398"/>
      <c r="K6" s="514" t="s">
        <v>524</v>
      </c>
      <c r="L6" s="2133"/>
      <c r="M6" s="2134"/>
      <c r="N6" s="2134"/>
      <c r="O6" s="2134"/>
      <c r="P6" s="3394"/>
      <c r="Q6" s="3395"/>
      <c r="R6" s="3378"/>
      <c r="S6" s="3379"/>
      <c r="T6" s="3380"/>
      <c r="U6" s="3381"/>
      <c r="V6" s="3396"/>
      <c r="W6" s="3396"/>
      <c r="X6" s="1567"/>
      <c r="Y6" s="3380"/>
      <c r="Z6" s="3381"/>
      <c r="AA6" s="3373"/>
      <c r="AB6" s="3373"/>
      <c r="AC6" s="3373"/>
    </row>
    <row r="7" spans="1:29" s="1220" customFormat="1" ht="15.75" thickBot="1">
      <c r="A7" s="2912"/>
      <c r="B7" s="2919" t="s">
        <v>525</v>
      </c>
      <c r="C7" s="519">
        <f>'数据-取费表'!B2</f>
        <v>43427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4" t="s">
        <v>526</v>
      </c>
      <c r="Q7" s="3383"/>
      <c r="R7" s="1568" t="s">
        <v>8</v>
      </c>
      <c r="S7" s="1569">
        <f t="shared" ref="S7:S15" si="0">F7</f>
        <v>0</v>
      </c>
      <c r="T7" s="1568" t="s">
        <v>8</v>
      </c>
      <c r="U7" s="1569">
        <f t="shared" ref="U7:U15" si="1">H7</f>
        <v>0</v>
      </c>
      <c r="V7" s="1568" t="s">
        <v>8</v>
      </c>
      <c r="W7" s="1569">
        <f t="shared" ref="W7:W15" si="2">J7</f>
        <v>0</v>
      </c>
      <c r="X7" s="1570"/>
      <c r="Y7" s="3374" t="s">
        <v>526</v>
      </c>
      <c r="Z7" s="3375"/>
      <c r="AA7" s="1571" t="e">
        <f>D7/F7</f>
        <v>#DIV/0!</v>
      </c>
      <c r="AB7" s="1571" t="e">
        <f>D7/H7</f>
        <v>#DIV/0!</v>
      </c>
      <c r="AC7" s="1571" t="e">
        <f>D7/J7</f>
        <v>#DIV/0!</v>
      </c>
    </row>
    <row r="8" spans="1:29" s="1220" customFormat="1" ht="15.75" thickBot="1">
      <c r="A8" s="2913"/>
      <c r="B8" s="2920" t="s">
        <v>527</v>
      </c>
      <c r="C8" s="525" t="s">
        <v>572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40" si="3">D8/F8</f>
        <v>#DIV/0!</v>
      </c>
      <c r="AB8" s="1571" t="e">
        <f t="shared" ref="AB8:AB40" si="4">D8/H8</f>
        <v>#DIV/0!</v>
      </c>
      <c r="AC8" s="1571"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2" t="s">
        <v>531</v>
      </c>
      <c r="Q9" s="1151" t="str">
        <f t="shared" ref="Q9:Q15" si="6">B9</f>
        <v>用途</v>
      </c>
      <c r="R9" s="1568" t="s">
        <v>8</v>
      </c>
      <c r="S9" s="1569">
        <f t="shared" si="0"/>
        <v>100</v>
      </c>
      <c r="T9" s="1568" t="s">
        <v>8</v>
      </c>
      <c r="U9" s="1569">
        <f t="shared" si="1"/>
        <v>100</v>
      </c>
      <c r="V9" s="1568" t="s">
        <v>8</v>
      </c>
      <c r="W9" s="1569">
        <f t="shared" si="2"/>
        <v>100</v>
      </c>
      <c r="X9" s="1570"/>
      <c r="Y9" s="333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2"/>
      <c r="Q11" s="1151" t="str">
        <f t="shared" si="6"/>
        <v>容积率</v>
      </c>
      <c r="R11" s="1568" t="s">
        <v>8</v>
      </c>
      <c r="S11" s="1569" t="e">
        <f t="shared" si="0"/>
        <v>#N/A</v>
      </c>
      <c r="T11" s="1568" t="s">
        <v>8</v>
      </c>
      <c r="U11" s="1569" t="e">
        <f t="shared" si="1"/>
        <v>#N/A</v>
      </c>
      <c r="V11" s="1568" t="s">
        <v>8</v>
      </c>
      <c r="W11" s="1569" t="e">
        <f t="shared" si="2"/>
        <v>#N/A</v>
      </c>
      <c r="X11" s="1570"/>
      <c r="Y11" s="333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2"/>
      <c r="Q12" s="1151">
        <f t="shared" si="6"/>
        <v>111</v>
      </c>
      <c r="R12" s="1568" t="s">
        <v>8</v>
      </c>
      <c r="S12" s="1569">
        <f t="shared" si="0"/>
        <v>100</v>
      </c>
      <c r="T12" s="1568" t="s">
        <v>8</v>
      </c>
      <c r="U12" s="1569">
        <f t="shared" si="1"/>
        <v>100</v>
      </c>
      <c r="V12" s="1568" t="s">
        <v>8</v>
      </c>
      <c r="W12" s="1569">
        <f t="shared" si="2"/>
        <v>100</v>
      </c>
      <c r="X12" s="1570"/>
      <c r="Y12" s="3339"/>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2"/>
      <c r="Q13" s="1151">
        <f t="shared" si="6"/>
        <v>111</v>
      </c>
      <c r="R13" s="1568" t="s">
        <v>8</v>
      </c>
      <c r="S13" s="1569">
        <f t="shared" si="0"/>
        <v>100</v>
      </c>
      <c r="T13" s="1568" t="s">
        <v>8</v>
      </c>
      <c r="U13" s="1569">
        <f t="shared" si="1"/>
        <v>100</v>
      </c>
      <c r="V13" s="1568" t="s">
        <v>8</v>
      </c>
      <c r="W13" s="1569">
        <f t="shared" si="2"/>
        <v>100</v>
      </c>
      <c r="X13" s="1570"/>
      <c r="Y13" s="3339"/>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2"/>
      <c r="Q14" s="1151">
        <f t="shared" si="6"/>
        <v>111</v>
      </c>
      <c r="R14" s="1568" t="s">
        <v>8</v>
      </c>
      <c r="S14" s="1569">
        <f t="shared" si="0"/>
        <v>100</v>
      </c>
      <c r="T14" s="1568" t="s">
        <v>8</v>
      </c>
      <c r="U14" s="1569">
        <f t="shared" si="1"/>
        <v>100</v>
      </c>
      <c r="V14" s="1568" t="s">
        <v>8</v>
      </c>
      <c r="W14" s="1569">
        <f t="shared" si="2"/>
        <v>100</v>
      </c>
      <c r="X14" s="1570"/>
      <c r="Y14" s="3339"/>
      <c r="Z14" s="1150">
        <f t="shared" si="7"/>
        <v>111</v>
      </c>
      <c r="AA14" s="1571">
        <f t="shared" si="3"/>
        <v>1</v>
      </c>
      <c r="AB14" s="1571">
        <f t="shared" si="4"/>
        <v>1</v>
      </c>
      <c r="AC14" s="1571">
        <f t="shared" si="5"/>
        <v>1</v>
      </c>
    </row>
    <row r="15" spans="1:29" ht="57">
      <c r="A15" s="2910" t="s">
        <v>2751</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4" t="s">
        <v>536</v>
      </c>
      <c r="Q15" s="1572" t="str">
        <f t="shared" si="6"/>
        <v>产业集聚程度</v>
      </c>
      <c r="R15" s="1573" t="s">
        <v>8</v>
      </c>
      <c r="S15" s="1574">
        <f t="shared" si="0"/>
        <v>100</v>
      </c>
      <c r="T15" s="1573" t="s">
        <v>8</v>
      </c>
      <c r="U15" s="1574">
        <f t="shared" si="1"/>
        <v>100</v>
      </c>
      <c r="V15" s="1573" t="s">
        <v>8</v>
      </c>
      <c r="W15" s="1574">
        <f t="shared" si="2"/>
        <v>100</v>
      </c>
      <c r="X15" s="1567"/>
      <c r="Y15" s="3384"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5"/>
      <c r="Q21" s="2579" t="str">
        <f>B21</f>
        <v>基础设施水平</v>
      </c>
      <c r="R21" s="1573" t="s">
        <v>8</v>
      </c>
      <c r="S21" s="1574">
        <f>F21</f>
        <v>100</v>
      </c>
      <c r="T21" s="1573" t="s">
        <v>8</v>
      </c>
      <c r="U21" s="1574">
        <f>H21</f>
        <v>100</v>
      </c>
      <c r="V21" s="1573" t="s">
        <v>8</v>
      </c>
      <c r="W21" s="1574">
        <f>J21</f>
        <v>100</v>
      </c>
      <c r="X21" s="2581"/>
      <c r="Y21" s="3385"/>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85"/>
      <c r="Q22" s="2579"/>
      <c r="R22" s="1573"/>
      <c r="S22" s="1574"/>
      <c r="T22" s="1573"/>
      <c r="U22" s="1574"/>
      <c r="V22" s="1573"/>
      <c r="W22" s="1574"/>
      <c r="X22" s="2581"/>
      <c r="Y22" s="3385"/>
      <c r="Z22" s="2580"/>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5"/>
      <c r="Q27" s="1151">
        <f t="shared" si="11"/>
        <v>111</v>
      </c>
      <c r="R27" s="1568" t="s">
        <v>8</v>
      </c>
      <c r="S27" s="1569">
        <f>F27</f>
        <v>100</v>
      </c>
      <c r="T27" s="1568" t="s">
        <v>8</v>
      </c>
      <c r="U27" s="1569">
        <f>H27</f>
        <v>100</v>
      </c>
      <c r="V27" s="1568" t="s">
        <v>8</v>
      </c>
      <c r="W27" s="1569">
        <f>J27</f>
        <v>100</v>
      </c>
      <c r="X27" s="1570"/>
      <c r="Y27" s="338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907" t="s">
        <v>2752</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6" t="s">
        <v>546</v>
      </c>
      <c r="Q29" s="1572" t="str">
        <f t="shared" si="11"/>
        <v>建筑类型</v>
      </c>
      <c r="R29" s="1573" t="s">
        <v>8</v>
      </c>
      <c r="S29" s="1574">
        <f t="shared" si="12"/>
        <v>100</v>
      </c>
      <c r="T29" s="1573" t="s">
        <v>8</v>
      </c>
      <c r="U29" s="1574">
        <f t="shared" si="13"/>
        <v>100</v>
      </c>
      <c r="V29" s="1573" t="s">
        <v>8</v>
      </c>
      <c r="W29" s="1574">
        <f t="shared" si="14"/>
        <v>100</v>
      </c>
      <c r="X29" s="1567"/>
      <c r="Y29" s="3387"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7"/>
      <c r="Q34" s="1151" t="str">
        <f t="shared" si="11"/>
        <v>物业管理</v>
      </c>
      <c r="R34" s="1568" t="s">
        <v>8</v>
      </c>
      <c r="S34" s="1569">
        <f t="shared" si="12"/>
        <v>100</v>
      </c>
      <c r="T34" s="1568" t="s">
        <v>8</v>
      </c>
      <c r="U34" s="1569">
        <f t="shared" si="13"/>
        <v>100</v>
      </c>
      <c r="V34" s="1568" t="s">
        <v>8</v>
      </c>
      <c r="W34" s="1569">
        <f t="shared" si="14"/>
        <v>100</v>
      </c>
      <c r="X34" s="1570"/>
      <c r="Y34" s="3387"/>
      <c r="Z34" s="1150" t="str">
        <f t="shared" si="15"/>
        <v>物业管理</v>
      </c>
      <c r="AA34" s="1571">
        <f t="shared" si="3"/>
        <v>1</v>
      </c>
      <c r="AB34" s="1571">
        <f t="shared" si="4"/>
        <v>1</v>
      </c>
      <c r="AC34" s="1571">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7" t="s">
        <v>546</v>
      </c>
      <c r="Q35" s="1572" t="str">
        <f t="shared" si="11"/>
        <v>市政基础设施</v>
      </c>
      <c r="R35" s="1573" t="s">
        <v>8</v>
      </c>
      <c r="S35" s="1574">
        <f t="shared" si="12"/>
        <v>100</v>
      </c>
      <c r="T35" s="1573" t="s">
        <v>8</v>
      </c>
      <c r="U35" s="1574">
        <f t="shared" si="13"/>
        <v>100</v>
      </c>
      <c r="V35" s="1573" t="s">
        <v>8</v>
      </c>
      <c r="W35" s="1574">
        <f t="shared" si="14"/>
        <v>100</v>
      </c>
      <c r="X35" s="1567"/>
      <c r="Y35" s="3387"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2">
        <f t="shared" si="11"/>
        <v>111</v>
      </c>
      <c r="R40" s="1573" t="s">
        <v>8</v>
      </c>
      <c r="S40" s="1574">
        <f t="shared" si="12"/>
        <v>100</v>
      </c>
      <c r="T40" s="1573" t="s">
        <v>8</v>
      </c>
      <c r="U40" s="1574">
        <f t="shared" si="13"/>
        <v>100</v>
      </c>
      <c r="V40" s="1573" t="s">
        <v>8</v>
      </c>
      <c r="W40" s="1574">
        <f t="shared" si="14"/>
        <v>100</v>
      </c>
      <c r="X40" s="1567"/>
      <c r="Y40" s="3484"/>
      <c r="Z40" s="1575">
        <f t="shared" si="15"/>
        <v>111</v>
      </c>
      <c r="AA40" s="1576">
        <f t="shared" si="3"/>
        <v>1</v>
      </c>
      <c r="AB40" s="1576">
        <f t="shared" si="4"/>
        <v>1</v>
      </c>
      <c r="AC40" s="1576">
        <f t="shared" si="5"/>
        <v>1</v>
      </c>
    </row>
    <row r="41" spans="1:29" ht="15">
      <c r="A41" s="607" t="s">
        <v>732</v>
      </c>
      <c r="B41" s="887"/>
      <c r="C41" s="2627" t="s">
        <v>1</v>
      </c>
      <c r="D41" s="2628"/>
      <c r="E41" s="2629"/>
      <c r="F41" s="2630"/>
      <c r="G41" s="2631"/>
      <c r="H41" s="2632"/>
      <c r="I41" s="2629"/>
      <c r="J41" s="2632"/>
      <c r="K41" s="1611"/>
      <c r="L41" s="2144"/>
      <c r="M41" s="2145"/>
      <c r="N41" s="2134"/>
      <c r="O41" s="2145"/>
      <c r="P41" s="3382" t="str">
        <f>A41</f>
        <v>成交单价（元/平方米）</v>
      </c>
      <c r="Q41" s="3382"/>
      <c r="R41" s="3483">
        <f>E41</f>
        <v>0</v>
      </c>
      <c r="S41" s="3483"/>
      <c r="T41" s="3483">
        <f>G41</f>
        <v>0</v>
      </c>
      <c r="U41" s="3483"/>
      <c r="V41" s="3483">
        <f>I41</f>
        <v>0</v>
      </c>
      <c r="W41" s="3483"/>
      <c r="X41" s="1559"/>
      <c r="Y41" s="1581"/>
      <c r="Z41" s="1559"/>
      <c r="AA41" s="1559"/>
      <c r="AB41" s="1559"/>
      <c r="AC41" s="1559"/>
    </row>
    <row r="42" spans="1:29" ht="15.75" thickBot="1">
      <c r="A42" s="615" t="s">
        <v>2757</v>
      </c>
      <c r="B42" s="888"/>
      <c r="C42" s="2633" t="e">
        <f>R43</f>
        <v>#DIV/0!</v>
      </c>
      <c r="D42" s="2634"/>
      <c r="E42" s="2635" t="e">
        <f>R42</f>
        <v>#DIV/0!</v>
      </c>
      <c r="F42" s="2635"/>
      <c r="G42" s="2633" t="e">
        <f>T42</f>
        <v>#DIV/0!</v>
      </c>
      <c r="H42" s="2634"/>
      <c r="I42" s="2635" t="e">
        <f>V42</f>
        <v>#DIV/0!</v>
      </c>
      <c r="J42" s="2634"/>
      <c r="K42" s="1612"/>
      <c r="L42" s="2144"/>
      <c r="M42" s="2145"/>
      <c r="N42" s="2134"/>
      <c r="O42" s="2145"/>
      <c r="P42" s="3382" t="str">
        <f>A42</f>
        <v>比较价格（元/平方米）</v>
      </c>
      <c r="Q42" s="33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9"/>
      <c r="Y42" s="1559"/>
      <c r="Z42" s="1559"/>
      <c r="AA42" s="1559"/>
      <c r="AB42" s="1559"/>
      <c r="AC42" s="1559"/>
    </row>
    <row r="43" spans="1:29" ht="15.75" thickBot="1">
      <c r="A43" s="621" t="s">
        <v>2926</v>
      </c>
      <c r="B43" s="622"/>
      <c r="C43" s="2636" t="e">
        <f>R43</f>
        <v>#DIV/0!</v>
      </c>
      <c r="D43" s="2636"/>
      <c r="E43" s="2636"/>
      <c r="F43" s="2636"/>
      <c r="G43" s="2636"/>
      <c r="H43" s="2636"/>
      <c r="I43" s="2636"/>
      <c r="J43" s="2636"/>
      <c r="K43" s="1613"/>
      <c r="L43" s="2144"/>
      <c r="M43" s="2145"/>
      <c r="N43" s="2145"/>
      <c r="O43" s="2145"/>
      <c r="P43" s="3404" t="str">
        <f>A43</f>
        <v>估价对象XX用房的比较价格（楼面单价，元/平方米）</v>
      </c>
      <c r="Q43" s="3405"/>
      <c r="R43" s="3482" t="e">
        <f>IF(F1="售价",ROUND(AVERAGE(R42:V42),0),ROUND(AVERAGE(R42:V42),1))</f>
        <v>#DIV/0!</v>
      </c>
      <c r="S43" s="3482"/>
      <c r="T43" s="3482"/>
      <c r="U43" s="3482"/>
      <c r="V43" s="3482"/>
      <c r="W43" s="3482"/>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525</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571</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527</v>
      </c>
      <c r="B55" s="648"/>
      <c r="C55" s="660" t="s">
        <v>572</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573</v>
      </c>
      <c r="B57" s="665" t="s">
        <v>530</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535</v>
      </c>
      <c r="B70" s="665" t="s">
        <v>581</v>
      </c>
      <c r="C70" s="703" t="s">
        <v>575</v>
      </c>
      <c r="D70" s="703" t="s">
        <v>576</v>
      </c>
      <c r="E70" s="703" t="s">
        <v>577</v>
      </c>
      <c r="F70" s="703" t="s">
        <v>578</v>
      </c>
      <c r="G70" s="703" t="s">
        <v>579</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582</v>
      </c>
      <c r="C72" s="708" t="s">
        <v>575</v>
      </c>
      <c r="D72" s="708" t="s">
        <v>576</v>
      </c>
      <c r="E72" s="708" t="s">
        <v>577</v>
      </c>
      <c r="F72" s="708" t="s">
        <v>578</v>
      </c>
      <c r="G72" s="708" t="s">
        <v>579</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575</v>
      </c>
      <c r="D74" s="708" t="s">
        <v>576</v>
      </c>
      <c r="E74" s="708" t="s">
        <v>577</v>
      </c>
      <c r="F74" s="708" t="s">
        <v>578</v>
      </c>
      <c r="G74" s="708" t="s">
        <v>579</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780</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547</v>
      </c>
      <c r="B88" s="665" t="s">
        <v>743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747</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749</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751</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2" priority="16" stopIfTrue="1" operator="containsText" text="超过">
      <formula>NOT(ISERROR(SEARCH("超过",F46)))</formula>
    </cfRule>
  </conditionalFormatting>
  <conditionalFormatting sqref="H48">
    <cfRule type="containsText" dxfId="51" priority="15" stopIfTrue="1" operator="containsText" text="超过">
      <formula>NOT(ISERROR(SEARCH("超过",H48)))</formula>
    </cfRule>
  </conditionalFormatting>
  <conditionalFormatting sqref="F48">
    <cfRule type="containsText" dxfId="50" priority="14" stopIfTrue="1" operator="containsText" text="超过">
      <formula>NOT(ISERROR(SEARCH("超过",F48)))</formula>
    </cfRule>
  </conditionalFormatting>
  <conditionalFormatting sqref="F47 H47">
    <cfRule type="containsText" dxfId="49" priority="13" stopIfTrue="1" operator="containsText" text="超过">
      <formula>NOT(ISERROR(SEARCH("超过",F47)))</formula>
    </cfRule>
  </conditionalFormatting>
  <conditionalFormatting sqref="E46">
    <cfRule type="expression" dxfId="48" priority="12" stopIfTrue="1">
      <formula>$F$46="超过30%"</formula>
    </cfRule>
  </conditionalFormatting>
  <conditionalFormatting sqref="E47">
    <cfRule type="expression" dxfId="47" priority="11" stopIfTrue="1">
      <formula>$F$47="超过20%"</formula>
    </cfRule>
  </conditionalFormatting>
  <conditionalFormatting sqref="E48">
    <cfRule type="expression" dxfId="46" priority="10" stopIfTrue="1">
      <formula>$F$48="超过30%"</formula>
    </cfRule>
  </conditionalFormatting>
  <conditionalFormatting sqref="G48">
    <cfRule type="expression" dxfId="45" priority="9" stopIfTrue="1">
      <formula>$H$48="超过30%"</formula>
    </cfRule>
  </conditionalFormatting>
  <conditionalFormatting sqref="G46">
    <cfRule type="expression" dxfId="44" priority="8" stopIfTrue="1">
      <formula>$H$46="超过30%"</formula>
    </cfRule>
  </conditionalFormatting>
  <conditionalFormatting sqref="G47">
    <cfRule type="expression" dxfId="43" priority="7" stopIfTrue="1">
      <formula>$H$47="超过20%"</formula>
    </cfRule>
  </conditionalFormatting>
  <conditionalFormatting sqref="J46">
    <cfRule type="containsText" dxfId="42" priority="6" stopIfTrue="1" operator="containsText" text="超过">
      <formula>NOT(ISERROR(SEARCH("超过",J46)))</formula>
    </cfRule>
  </conditionalFormatting>
  <conditionalFormatting sqref="J48">
    <cfRule type="containsText" dxfId="41" priority="5" stopIfTrue="1" operator="containsText" text="超过">
      <formula>NOT(ISERROR(SEARCH("超过",J48)))</formula>
    </cfRule>
  </conditionalFormatting>
  <conditionalFormatting sqref="J47">
    <cfRule type="containsText" dxfId="40" priority="4" stopIfTrue="1" operator="containsText" text="超过">
      <formula>NOT(ISERROR(SEARCH("超过",J47)))</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70" zoomScaleNormal="70" workbookViewId="0">
      <selection activeCell="C28" sqref="C28"/>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t="s">
        <v>919</v>
      </c>
      <c r="C1" s="504" t="s">
        <v>788</v>
      </c>
      <c r="D1" s="849" t="s">
        <v>35</v>
      </c>
      <c r="E1" s="506"/>
      <c r="F1" s="2807" t="s">
        <v>3158</v>
      </c>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f>IF(B37="元/平方米",ROUND(B3*D3/10000,0),ROUND(F3*C39/10000,0))</f>
        <v>14064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f>IF(B37="元/平方米",C39,ROUND(B2*10000/D3,0))</f>
        <v>5882</v>
      </c>
      <c r="C3" s="852" t="s">
        <v>792</v>
      </c>
      <c r="D3" s="851">
        <f>SUMIF('数据-汇总表'!$C19:$C33,D1,'数据-汇总表'!$E19:$E33)</f>
        <v>23909.5</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8" t="s">
        <v>794</v>
      </c>
      <c r="D4" s="3389"/>
      <c r="E4" s="3388" t="s">
        <v>795</v>
      </c>
      <c r="F4" s="3389"/>
      <c r="G4" s="3388" t="s">
        <v>796</v>
      </c>
      <c r="H4" s="3389"/>
      <c r="I4" s="3388" t="s">
        <v>797</v>
      </c>
      <c r="J4" s="3389"/>
      <c r="K4" s="514" t="s">
        <v>798</v>
      </c>
      <c r="L4" s="2133"/>
      <c r="M4" s="2134"/>
      <c r="N4" s="2134"/>
      <c r="O4" s="2134"/>
      <c r="P4" s="3390" t="s">
        <v>799</v>
      </c>
      <c r="Q4" s="3391"/>
      <c r="R4" s="3376" t="s">
        <v>795</v>
      </c>
      <c r="S4" s="3377"/>
      <c r="T4" s="3376" t="s">
        <v>796</v>
      </c>
      <c r="U4" s="3377"/>
      <c r="V4" s="3396" t="s">
        <v>797</v>
      </c>
      <c r="W4" s="3396"/>
      <c r="X4" s="1567"/>
      <c r="Y4" s="3376" t="s">
        <v>799</v>
      </c>
      <c r="Z4" s="3377"/>
      <c r="AA4" s="3371" t="s">
        <v>795</v>
      </c>
      <c r="AB4" s="3372" t="s">
        <v>796</v>
      </c>
      <c r="AC4" s="3371" t="s">
        <v>797</v>
      </c>
    </row>
    <row r="5" spans="1:29" ht="15">
      <c r="A5" s="515"/>
      <c r="B5" s="516"/>
      <c r="C5" s="3489" t="s">
        <v>3159</v>
      </c>
      <c r="D5" s="3400"/>
      <c r="E5" s="3489" t="s">
        <v>3139</v>
      </c>
      <c r="F5" s="3400"/>
      <c r="G5" s="3489" t="s">
        <v>3140</v>
      </c>
      <c r="H5" s="3400"/>
      <c r="I5" s="3489" t="s">
        <v>3160</v>
      </c>
      <c r="J5" s="3400"/>
      <c r="K5" s="514"/>
      <c r="L5" s="2133"/>
      <c r="M5" s="2134"/>
      <c r="N5" s="2134"/>
      <c r="O5" s="2134"/>
      <c r="P5" s="3392"/>
      <c r="Q5" s="3393"/>
      <c r="R5" s="3378"/>
      <c r="S5" s="3379"/>
      <c r="T5" s="3378"/>
      <c r="U5" s="3379"/>
      <c r="V5" s="3396"/>
      <c r="W5" s="3396"/>
      <c r="X5" s="1567"/>
      <c r="Y5" s="3378"/>
      <c r="Z5" s="3379"/>
      <c r="AA5" s="3372"/>
      <c r="AB5" s="3372"/>
      <c r="AC5" s="3372"/>
    </row>
    <row r="6" spans="1:29" ht="15.75" thickBot="1">
      <c r="A6" s="517"/>
      <c r="B6" s="518"/>
      <c r="C6" s="3397" t="s">
        <v>2924</v>
      </c>
      <c r="D6" s="3398"/>
      <c r="E6" s="3402" t="s">
        <v>3141</v>
      </c>
      <c r="F6" s="3403"/>
      <c r="G6" s="3397" t="s">
        <v>3141</v>
      </c>
      <c r="H6" s="3398"/>
      <c r="I6" s="3397" t="s">
        <v>3141</v>
      </c>
      <c r="J6" s="3398"/>
      <c r="K6" s="514" t="s">
        <v>524</v>
      </c>
      <c r="L6" s="2133"/>
      <c r="M6" s="2134"/>
      <c r="N6" s="2134"/>
      <c r="O6" s="2134"/>
      <c r="P6" s="3394"/>
      <c r="Q6" s="3395"/>
      <c r="R6" s="3378"/>
      <c r="S6" s="3379"/>
      <c r="T6" s="3380"/>
      <c r="U6" s="3381"/>
      <c r="V6" s="3396"/>
      <c r="W6" s="3396"/>
      <c r="X6" s="1567"/>
      <c r="Y6" s="3380"/>
      <c r="Z6" s="3381"/>
      <c r="AA6" s="3373"/>
      <c r="AB6" s="3373"/>
      <c r="AC6" s="3373"/>
    </row>
    <row r="7" spans="1:29" s="1220" customFormat="1" ht="15.75" thickBot="1">
      <c r="A7" s="2912"/>
      <c r="B7" s="2919" t="s">
        <v>525</v>
      </c>
      <c r="C7" s="519">
        <f>'数据-取费表'!B2</f>
        <v>43427</v>
      </c>
      <c r="D7" s="520">
        <v>100</v>
      </c>
      <c r="E7" s="521">
        <v>43313</v>
      </c>
      <c r="F7" s="522">
        <f>SUMIF(48:48,YEAR(E7)&amp;"-"&amp;MONTH(E7),49:49)</f>
        <v>98.5</v>
      </c>
      <c r="G7" s="523">
        <v>43101</v>
      </c>
      <c r="H7" s="520">
        <f>SUMIF(48:48,YEAR(G7)&amp;"-"&amp;MONTH(G7),49:49)</f>
        <v>95</v>
      </c>
      <c r="I7" s="523">
        <v>43221</v>
      </c>
      <c r="J7" s="520">
        <f>SUMIF(48:48,YEAR(I7)&amp;"-"&amp;MONTH(I7),49:49)</f>
        <v>97</v>
      </c>
      <c r="K7" s="524"/>
      <c r="L7" s="2135"/>
      <c r="M7" s="2136"/>
      <c r="N7" s="2136"/>
      <c r="O7" s="2136"/>
      <c r="P7" s="3374" t="s">
        <v>526</v>
      </c>
      <c r="Q7" s="3383"/>
      <c r="R7" s="1568" t="s">
        <v>8</v>
      </c>
      <c r="S7" s="1569">
        <f t="shared" ref="S7:S14" si="0">F7</f>
        <v>98.5</v>
      </c>
      <c r="T7" s="1568" t="s">
        <v>8</v>
      </c>
      <c r="U7" s="1569">
        <f t="shared" ref="U7:U14" si="1">H7</f>
        <v>95</v>
      </c>
      <c r="V7" s="1568" t="s">
        <v>8</v>
      </c>
      <c r="W7" s="1569">
        <f t="shared" ref="W7:W14" si="2">J7</f>
        <v>97</v>
      </c>
      <c r="X7" s="1570"/>
      <c r="Y7" s="3374" t="s">
        <v>526</v>
      </c>
      <c r="Z7" s="3375"/>
      <c r="AA7" s="1571">
        <f>D7/F7</f>
        <v>1.015228426395939</v>
      </c>
      <c r="AB7" s="1571">
        <f>D7/H7</f>
        <v>1.0526315789473684</v>
      </c>
      <c r="AC7" s="1571">
        <f>D7/J7</f>
        <v>1.0309278350515463</v>
      </c>
    </row>
    <row r="8" spans="1:29" s="1220" customFormat="1" ht="15.75" thickBot="1">
      <c r="A8" s="2913"/>
      <c r="B8" s="2920" t="s">
        <v>527</v>
      </c>
      <c r="C8" s="525" t="s">
        <v>572</v>
      </c>
      <c r="D8" s="520">
        <v>100</v>
      </c>
      <c r="E8" s="525" t="s">
        <v>3145</v>
      </c>
      <c r="F8" s="522">
        <f>SUMIF(51:51,E8,52:52)-SUMIF(51:51,C8,52:52)+100</f>
        <v>100</v>
      </c>
      <c r="G8" s="525" t="s">
        <v>3147</v>
      </c>
      <c r="H8" s="520">
        <f>SUMIF(51:51,G8,52:52)-SUMIF(51:51,C8,52:52)+100</f>
        <v>100</v>
      </c>
      <c r="I8" s="525" t="s">
        <v>3147</v>
      </c>
      <c r="J8" s="520">
        <f>SUMIF(51:51,I8,52:52)-SUMIF(51:51,C8,52:52)+100</f>
        <v>100</v>
      </c>
      <c r="K8" s="524"/>
      <c r="L8" s="2135"/>
      <c r="M8" s="2136"/>
      <c r="N8" s="2136"/>
      <c r="O8" s="2136"/>
      <c r="P8" s="3374" t="s">
        <v>529</v>
      </c>
      <c r="Q8" s="3375"/>
      <c r="R8" s="1568" t="s">
        <v>8</v>
      </c>
      <c r="S8" s="1569">
        <f t="shared" si="0"/>
        <v>100</v>
      </c>
      <c r="T8" s="1568" t="s">
        <v>8</v>
      </c>
      <c r="U8" s="1569">
        <f t="shared" si="1"/>
        <v>100</v>
      </c>
      <c r="V8" s="1568" t="s">
        <v>8</v>
      </c>
      <c r="W8" s="1569">
        <f t="shared" si="2"/>
        <v>100</v>
      </c>
      <c r="X8" s="1570"/>
      <c r="Y8" s="3374" t="s">
        <v>529</v>
      </c>
      <c r="Z8" s="3375"/>
      <c r="AA8" s="1571">
        <f t="shared" ref="AA8:AA36" si="3">D8/F8</f>
        <v>1</v>
      </c>
      <c r="AB8" s="1571">
        <f t="shared" ref="AB8:AB36" si="4">D8/H8</f>
        <v>1</v>
      </c>
      <c r="AC8" s="1571">
        <f t="shared" ref="AC8:AC36" si="5">D8/J8</f>
        <v>1</v>
      </c>
    </row>
    <row r="9" spans="1:29" s="1220" customFormat="1" ht="15">
      <c r="A9" s="2914"/>
      <c r="B9" s="2921" t="s">
        <v>2753</v>
      </c>
      <c r="C9" s="3192" t="s">
        <v>3148</v>
      </c>
      <c r="D9" s="254">
        <v>100</v>
      </c>
      <c r="E9" s="860" t="s">
        <v>3073</v>
      </c>
      <c r="F9" s="254">
        <f>SUMIF(53:53,E9,54:54)-SUMIF(53:53,C9,54:54)+100</f>
        <v>100</v>
      </c>
      <c r="G9" s="858" t="s">
        <v>3073</v>
      </c>
      <c r="H9" s="254">
        <f>SUMIF(53:53,G9,54:54)-SUMIF(53:53,C9,54:54)+100</f>
        <v>100</v>
      </c>
      <c r="I9" s="858" t="s">
        <v>3073</v>
      </c>
      <c r="J9" s="254">
        <f>SUMIF(53:53,I9,54:54)-SUMIF(53:53,C9,54:54)+100</f>
        <v>100</v>
      </c>
      <c r="K9" s="524"/>
      <c r="L9" s="2135"/>
      <c r="M9" s="2136"/>
      <c r="N9" s="2136"/>
      <c r="O9" s="2137"/>
      <c r="P9" s="3382" t="s">
        <v>531</v>
      </c>
      <c r="Q9" s="1151" t="str">
        <f t="shared" ref="Q9:Q14" si="6">B9</f>
        <v>用途</v>
      </c>
      <c r="R9" s="1568" t="s">
        <v>8</v>
      </c>
      <c r="S9" s="1569">
        <f t="shared" si="0"/>
        <v>100</v>
      </c>
      <c r="T9" s="1568" t="s">
        <v>8</v>
      </c>
      <c r="U9" s="1569">
        <f t="shared" si="1"/>
        <v>100</v>
      </c>
      <c r="V9" s="1568" t="s">
        <v>8</v>
      </c>
      <c r="W9" s="1569">
        <f t="shared" si="2"/>
        <v>100</v>
      </c>
      <c r="X9" s="1570"/>
      <c r="Y9" s="3339" t="s">
        <v>532</v>
      </c>
      <c r="Z9" s="1150" t="str">
        <f t="shared" ref="Z9:Z14" si="7">Q9</f>
        <v>用途</v>
      </c>
      <c r="AA9" s="1571">
        <f t="shared" si="3"/>
        <v>1</v>
      </c>
      <c r="AB9" s="1571">
        <f t="shared" si="4"/>
        <v>1</v>
      </c>
      <c r="AC9" s="1571">
        <f t="shared" si="5"/>
        <v>1</v>
      </c>
    </row>
    <row r="10" spans="1:29" s="1338" customFormat="1" ht="39" customHeight="1" thickBot="1">
      <c r="A10" s="2915"/>
      <c r="B10" s="2920" t="s">
        <v>2754</v>
      </c>
      <c r="C10" s="861" t="s">
        <v>3146</v>
      </c>
      <c r="D10" s="255">
        <v>100</v>
      </c>
      <c r="E10" s="861" t="s">
        <v>3146</v>
      </c>
      <c r="F10" s="255">
        <f>SUMIF(55:55,E10,56:56)-SUMIF(55:55,C10,56:56)+100</f>
        <v>100</v>
      </c>
      <c r="G10" s="862" t="s">
        <v>3146</v>
      </c>
      <c r="H10" s="255">
        <f>SUMIF(55:55,G10,56:56)-SUMIF(55:55,C10,56:56)+100</f>
        <v>100</v>
      </c>
      <c r="I10" s="861" t="s">
        <v>3146</v>
      </c>
      <c r="J10" s="255">
        <f>SUMIF(55:55,I10,56:56)-SUMIF(55:55,C10,56:56)+100</f>
        <v>100</v>
      </c>
      <c r="K10" s="584">
        <v>2</v>
      </c>
      <c r="L10" s="2138"/>
      <c r="M10" s="2178"/>
      <c r="N10" s="2178"/>
      <c r="O10" s="2139"/>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hidden="1">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2"/>
      <c r="Q11" s="1151">
        <f t="shared" si="6"/>
        <v>111</v>
      </c>
      <c r="R11" s="1568" t="s">
        <v>8</v>
      </c>
      <c r="S11" s="1569">
        <f t="shared" si="0"/>
        <v>100</v>
      </c>
      <c r="T11" s="1568" t="s">
        <v>8</v>
      </c>
      <c r="U11" s="1569">
        <f t="shared" si="1"/>
        <v>100</v>
      </c>
      <c r="V11" s="1568" t="s">
        <v>8</v>
      </c>
      <c r="W11" s="1569">
        <f t="shared" si="2"/>
        <v>100</v>
      </c>
      <c r="X11" s="1570"/>
      <c r="Y11" s="3339"/>
      <c r="Z11" s="1150">
        <f t="shared" si="7"/>
        <v>111</v>
      </c>
      <c r="AA11" s="1571">
        <f t="shared" si="3"/>
        <v>1</v>
      </c>
      <c r="AB11" s="1571">
        <f t="shared" si="4"/>
        <v>1</v>
      </c>
      <c r="AC11" s="1571">
        <f t="shared" si="5"/>
        <v>1</v>
      </c>
    </row>
    <row r="12" spans="1:29" s="1220" customFormat="1" ht="15" hidden="1">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2"/>
      <c r="Q12" s="1151">
        <f t="shared" si="6"/>
        <v>111</v>
      </c>
      <c r="R12" s="1568" t="s">
        <v>8</v>
      </c>
      <c r="S12" s="1569">
        <f t="shared" si="0"/>
        <v>100</v>
      </c>
      <c r="T12" s="1568" t="s">
        <v>8</v>
      </c>
      <c r="U12" s="1569">
        <f t="shared" si="1"/>
        <v>100</v>
      </c>
      <c r="V12" s="1568" t="s">
        <v>8</v>
      </c>
      <c r="W12" s="1569">
        <f t="shared" si="2"/>
        <v>100</v>
      </c>
      <c r="X12" s="1570"/>
      <c r="Y12" s="3339"/>
      <c r="Z12" s="1150">
        <f t="shared" si="7"/>
        <v>111</v>
      </c>
      <c r="AA12" s="1571">
        <f>D12/F12</f>
        <v>1</v>
      </c>
      <c r="AB12" s="1571">
        <f>D12/H12</f>
        <v>1</v>
      </c>
      <c r="AC12" s="1571">
        <f>D12/J12</f>
        <v>1</v>
      </c>
    </row>
    <row r="13" spans="1:29" ht="15.75" hidden="1"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2"/>
      <c r="Q13" s="1151">
        <f t="shared" si="6"/>
        <v>111</v>
      </c>
      <c r="R13" s="1568" t="s">
        <v>8</v>
      </c>
      <c r="S13" s="1569">
        <f t="shared" si="0"/>
        <v>100</v>
      </c>
      <c r="T13" s="1568" t="s">
        <v>8</v>
      </c>
      <c r="U13" s="1569">
        <f t="shared" si="1"/>
        <v>100</v>
      </c>
      <c r="V13" s="1568" t="s">
        <v>8</v>
      </c>
      <c r="W13" s="1569">
        <f t="shared" si="2"/>
        <v>100</v>
      </c>
      <c r="X13" s="1570"/>
      <c r="Y13" s="3339"/>
      <c r="Z13" s="1150">
        <f t="shared" si="7"/>
        <v>111</v>
      </c>
      <c r="AA13" s="1571">
        <f t="shared" si="3"/>
        <v>1</v>
      </c>
      <c r="AB13" s="1571">
        <f t="shared" si="4"/>
        <v>1</v>
      </c>
      <c r="AC13" s="1571">
        <f t="shared" si="5"/>
        <v>1</v>
      </c>
    </row>
    <row r="14" spans="1:29" ht="71.25">
      <c r="A14" s="2910" t="s">
        <v>2751</v>
      </c>
      <c r="B14" s="547" t="s">
        <v>539</v>
      </c>
      <c r="C14" s="921" t="str">
        <f>IF(B1="工业",估价对象房地状况!G4,估价对象房地状况!C6)</f>
        <v>估价对象周边道路状况一般，周边有820路;986路;郊87路等多条公交线路及地铁亦庄线经过，路网密集度一般，综合考虑估价对象交通便捷度较好。</v>
      </c>
      <c r="D14" s="549">
        <v>100</v>
      </c>
      <c r="E14" s="550"/>
      <c r="F14" s="551">
        <f>SUMIF(63:63,E15,64:64)-SUMIF(63:63,C15,64:64)+100</f>
        <v>100</v>
      </c>
      <c r="G14" s="550"/>
      <c r="H14" s="549">
        <f>SUMIF(63:63,G15,64:64)-SUMIF(63:63,C15,64:64)+100</f>
        <v>100</v>
      </c>
      <c r="I14" s="550"/>
      <c r="J14" s="549">
        <f>SUMIF(63:63,I15,64:64)-SUMIF(63:63,C15,64:64)+100</f>
        <v>100</v>
      </c>
      <c r="K14" s="898">
        <v>2</v>
      </c>
      <c r="L14" s="2142"/>
      <c r="M14" s="2134"/>
      <c r="N14" s="2134"/>
      <c r="O14" s="2141"/>
      <c r="P14" s="3384" t="s">
        <v>536</v>
      </c>
      <c r="Q14" s="1572" t="str">
        <f t="shared" si="6"/>
        <v>交通便捷度</v>
      </c>
      <c r="R14" s="1573" t="s">
        <v>8</v>
      </c>
      <c r="S14" s="1574">
        <f t="shared" si="0"/>
        <v>100</v>
      </c>
      <c r="T14" s="1573" t="s">
        <v>8</v>
      </c>
      <c r="U14" s="1574">
        <f t="shared" si="1"/>
        <v>100</v>
      </c>
      <c r="V14" s="1573" t="s">
        <v>8</v>
      </c>
      <c r="W14" s="1574">
        <f t="shared" si="2"/>
        <v>100</v>
      </c>
      <c r="X14" s="1567"/>
      <c r="Y14" s="3384" t="s">
        <v>536</v>
      </c>
      <c r="Z14" s="1575" t="str">
        <f t="shared" si="7"/>
        <v>交通便捷度</v>
      </c>
      <c r="AA14" s="1576">
        <f t="shared" si="3"/>
        <v>1</v>
      </c>
      <c r="AB14" s="1576">
        <f t="shared" si="4"/>
        <v>1</v>
      </c>
      <c r="AC14" s="1576">
        <f t="shared" si="5"/>
        <v>1</v>
      </c>
    </row>
    <row r="15" spans="1:29" ht="15">
      <c r="A15" s="515"/>
      <c r="B15" s="924"/>
      <c r="C15" s="576" t="s">
        <v>3112</v>
      </c>
      <c r="D15" s="555"/>
      <c r="E15" s="576" t="s">
        <v>3112</v>
      </c>
      <c r="F15" s="557"/>
      <c r="G15" s="576" t="s">
        <v>3112</v>
      </c>
      <c r="H15" s="559"/>
      <c r="I15" s="576" t="s">
        <v>3112</v>
      </c>
      <c r="J15" s="555"/>
      <c r="K15" s="899"/>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15"/>
      <c r="B16" s="2603"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2</v>
      </c>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5"/>
      <c r="B17" s="566"/>
      <c r="C17" s="873" t="s">
        <v>3114</v>
      </c>
      <c r="D17" s="555"/>
      <c r="E17" s="576" t="s">
        <v>3114</v>
      </c>
      <c r="F17" s="557"/>
      <c r="G17" s="576" t="s">
        <v>3114</v>
      </c>
      <c r="H17" s="555"/>
      <c r="I17" s="576" t="s">
        <v>3114</v>
      </c>
      <c r="J17" s="555"/>
      <c r="K17" s="899"/>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15"/>
      <c r="B18" s="2591" t="s">
        <v>2556</v>
      </c>
      <c r="C18" s="872" t="str">
        <f>IF(B1="工业",估价对象房地状况!G6,估价对象房地状况!C8)</f>
        <v>估价对象所在区域基础设施水平达七通。</v>
      </c>
      <c r="D18" s="559">
        <v>100</v>
      </c>
      <c r="E18" s="572"/>
      <c r="F18" s="571">
        <f>SUMIF(67:67,E19,68:68)-SUMIF(67:67,C19,68:68)+100</f>
        <v>100</v>
      </c>
      <c r="G18" s="572"/>
      <c r="H18" s="565">
        <f>SUMIF(67:67,G19,68:68)-SUMIF(67:67,C19,68:68)+100</f>
        <v>100</v>
      </c>
      <c r="I18" s="572"/>
      <c r="J18" s="565">
        <f>SUMIF(67:67,I19,68:68)-SUMIF(67:67,C19,68:68)+100</f>
        <v>100</v>
      </c>
      <c r="K18" s="898">
        <v>1</v>
      </c>
      <c r="L18" s="2142"/>
      <c r="M18" s="2134"/>
      <c r="N18" s="2134"/>
      <c r="O18" s="2141"/>
      <c r="P18" s="3385"/>
      <c r="Q18" s="2579" t="str">
        <f>B18</f>
        <v>基础设施水平</v>
      </c>
      <c r="R18" s="1573" t="s">
        <v>8</v>
      </c>
      <c r="S18" s="1574">
        <f>F18</f>
        <v>100</v>
      </c>
      <c r="T18" s="1573" t="s">
        <v>8</v>
      </c>
      <c r="U18" s="1574">
        <f>H18</f>
        <v>100</v>
      </c>
      <c r="V18" s="1573" t="s">
        <v>8</v>
      </c>
      <c r="W18" s="1574">
        <f>J18</f>
        <v>100</v>
      </c>
      <c r="X18" s="2581"/>
      <c r="Y18" s="3385"/>
      <c r="Z18" s="2580" t="str">
        <f>Q18</f>
        <v>基础设施水平</v>
      </c>
      <c r="AA18" s="1576">
        <f t="shared" ref="AA18" si="8">D18/F18</f>
        <v>1</v>
      </c>
      <c r="AB18" s="1576">
        <f t="shared" ref="AB18" si="9">D18/H18</f>
        <v>1</v>
      </c>
      <c r="AC18" s="1576">
        <f t="shared" ref="AC18" si="10">D18/J18</f>
        <v>1</v>
      </c>
    </row>
    <row r="19" spans="1:29" ht="15">
      <c r="A19" s="515"/>
      <c r="B19" s="578"/>
      <c r="C19" s="873" t="s">
        <v>3092</v>
      </c>
      <c r="D19" s="559"/>
      <c r="E19" s="576" t="s">
        <v>3092</v>
      </c>
      <c r="F19" s="557"/>
      <c r="G19" s="576" t="s">
        <v>3092</v>
      </c>
      <c r="H19" s="555"/>
      <c r="I19" s="576" t="s">
        <v>3092</v>
      </c>
      <c r="J19" s="555"/>
      <c r="K19" s="2602"/>
      <c r="L19" s="2142"/>
      <c r="M19" s="2134"/>
      <c r="N19" s="2134"/>
      <c r="O19" s="2141"/>
      <c r="P19" s="3385"/>
      <c r="Q19" s="2579"/>
      <c r="R19" s="1573"/>
      <c r="S19" s="1574"/>
      <c r="T19" s="1573"/>
      <c r="U19" s="1574"/>
      <c r="V19" s="1573"/>
      <c r="W19" s="1574"/>
      <c r="X19" s="2581"/>
      <c r="Y19" s="3385"/>
      <c r="Z19" s="2580"/>
      <c r="AA19" s="1576">
        <v>1</v>
      </c>
      <c r="AB19" s="1576">
        <v>1</v>
      </c>
      <c r="AC19" s="1576">
        <v>1</v>
      </c>
    </row>
    <row r="20" spans="1:29" ht="42.75">
      <c r="A20" s="515"/>
      <c r="B20" s="560" t="s">
        <v>800</v>
      </c>
      <c r="C20" s="872" t="str">
        <f>IF(B1="工业",估价对象房地状况!G7,估价对象房地状况!C9)</f>
        <v>估价对象周边2公里内有亦庄湿地公园等，综合考虑自然及人文环境一般。</v>
      </c>
      <c r="D20" s="565">
        <v>100</v>
      </c>
      <c r="E20" s="562"/>
      <c r="F20" s="563">
        <f>SUMIF(69:69,E21,70:70)-SUMIF(69:69,C21,70:70)+100</f>
        <v>100</v>
      </c>
      <c r="G20" s="562"/>
      <c r="H20" s="559">
        <f>SUMIF(69:69,G21,70:70)-SUMIF(69:69,C21,70:70)+100</f>
        <v>100</v>
      </c>
      <c r="I20" s="562"/>
      <c r="J20" s="559">
        <f>SUMIF(69:69,I21,70:70)-SUMIF(69:69,C21,70:70)+100</f>
        <v>100</v>
      </c>
      <c r="K20" s="898">
        <v>2</v>
      </c>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75" thickBot="1">
      <c r="A21" s="515"/>
      <c r="B21" s="566"/>
      <c r="C21" s="576" t="s">
        <v>3114</v>
      </c>
      <c r="D21" s="555"/>
      <c r="E21" s="576" t="s">
        <v>3114</v>
      </c>
      <c r="F21" s="557"/>
      <c r="G21" s="576" t="s">
        <v>3114</v>
      </c>
      <c r="H21" s="555"/>
      <c r="I21" s="576" t="s">
        <v>3114</v>
      </c>
      <c r="J21" s="555"/>
      <c r="K21" s="899"/>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75" hidden="1" thickBot="1">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8.75" hidden="1" customHeight="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5"/>
      <c r="Q25" s="1151">
        <f t="shared" si="11"/>
        <v>111</v>
      </c>
      <c r="R25" s="1568" t="s">
        <v>8</v>
      </c>
      <c r="S25" s="1569">
        <f>F25</f>
        <v>100</v>
      </c>
      <c r="T25" s="1568" t="s">
        <v>8</v>
      </c>
      <c r="U25" s="1569">
        <f>H25</f>
        <v>100</v>
      </c>
      <c r="V25" s="1568" t="s">
        <v>8</v>
      </c>
      <c r="W25" s="1569">
        <f>J25</f>
        <v>100</v>
      </c>
      <c r="X25" s="1570"/>
      <c r="Y25" s="3385"/>
      <c r="Z25" s="1150">
        <f>Q25</f>
        <v>111</v>
      </c>
      <c r="AA25" s="1576">
        <f>D25/F25</f>
        <v>1</v>
      </c>
      <c r="AB25" s="1576">
        <f>D25/H25</f>
        <v>1</v>
      </c>
      <c r="AC25" s="1576">
        <f>D25/J25</f>
        <v>1</v>
      </c>
    </row>
    <row r="26" spans="1:29" ht="15">
      <c r="A26" s="2907" t="s">
        <v>2752</v>
      </c>
      <c r="B26" s="170" t="s">
        <v>802</v>
      </c>
      <c r="C26" s="928" t="str">
        <f>B1</f>
        <v>住宅</v>
      </c>
      <c r="D26" s="555">
        <v>100</v>
      </c>
      <c r="E26" s="576" t="s">
        <v>919</v>
      </c>
      <c r="F26" s="557">
        <f>SUMIF(79:79,E26,80:80)-SUMIF(79:79,C26,80:80)+100</f>
        <v>100</v>
      </c>
      <c r="G26" s="576" t="s">
        <v>919</v>
      </c>
      <c r="H26" s="555">
        <f>SUMIF(79:79,G26,80:80)-SUMIF(79:79,C26,80:80)+100</f>
        <v>100</v>
      </c>
      <c r="I26" s="576" t="s">
        <v>919</v>
      </c>
      <c r="J26" s="555">
        <f>SUMIF(79:79,I26,80:80)-SUMIF(79:79,C26,80:80)+100</f>
        <v>100</v>
      </c>
      <c r="K26" s="584">
        <v>2</v>
      </c>
      <c r="L26" s="2142"/>
      <c r="M26" s="2134"/>
      <c r="N26" s="2134"/>
      <c r="O26" s="2141"/>
      <c r="P26" s="3386"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546</v>
      </c>
      <c r="Z26" s="1575" t="str">
        <f t="shared" ref="Z26:Z36" si="15">Q26</f>
        <v>配套类型</v>
      </c>
      <c r="AA26" s="1576">
        <f t="shared" si="3"/>
        <v>1</v>
      </c>
      <c r="AB26" s="1576">
        <f t="shared" si="4"/>
        <v>1</v>
      </c>
      <c r="AC26" s="1576">
        <f t="shared" si="5"/>
        <v>1</v>
      </c>
    </row>
    <row r="27" spans="1:29" s="1339" customFormat="1" ht="15" hidden="1">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1"/>
      <c r="B28" s="582" t="s">
        <v>804</v>
      </c>
      <c r="C28" s="574" t="s">
        <v>3142</v>
      </c>
      <c r="D28" s="540">
        <v>100</v>
      </c>
      <c r="E28" s="574" t="s">
        <v>3142</v>
      </c>
      <c r="F28" s="575">
        <f>SUMIF(83:83,E28,84:84)-SUMIF(83:83,C28,84:84)+100</f>
        <v>100</v>
      </c>
      <c r="G28" s="574" t="s">
        <v>3142</v>
      </c>
      <c r="H28" s="540">
        <f>SUMIF(83:83,G28,84:84)-SUMIF(83:83,C28,84:84)+100</f>
        <v>100</v>
      </c>
      <c r="I28" s="574" t="s">
        <v>3142</v>
      </c>
      <c r="J28" s="540">
        <f>SUMIF(83:83,I28,84:84)-SUMIF(83:83,C28,84:84)+100</f>
        <v>100</v>
      </c>
      <c r="K28" s="584">
        <v>1</v>
      </c>
      <c r="L28" s="2142"/>
      <c r="M28" s="2134"/>
      <c r="N28" s="2134"/>
      <c r="O28" s="2141"/>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1"/>
      <c r="B29" s="582" t="s">
        <v>805</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2</v>
      </c>
      <c r="L29" s="2142"/>
      <c r="M29" s="2134"/>
      <c r="N29" s="2134"/>
      <c r="O29" s="2141"/>
      <c r="P29" s="3387"/>
      <c r="Q29" s="1572" t="str">
        <f t="shared" si="11"/>
        <v>成新率</v>
      </c>
      <c r="R29" s="1573" t="s">
        <v>8</v>
      </c>
      <c r="S29" s="1574">
        <f t="shared" si="12"/>
        <v>100</v>
      </c>
      <c r="T29" s="1573" t="s">
        <v>8</v>
      </c>
      <c r="U29" s="1574">
        <f t="shared" si="13"/>
        <v>100</v>
      </c>
      <c r="V29" s="1573" t="s">
        <v>8</v>
      </c>
      <c r="W29" s="1574">
        <f t="shared" si="14"/>
        <v>100</v>
      </c>
      <c r="X29" s="1567"/>
      <c r="Y29" s="3387"/>
      <c r="Z29" s="1575" t="str">
        <f t="shared" si="15"/>
        <v>成新率</v>
      </c>
      <c r="AA29" s="1576">
        <f t="shared" si="3"/>
        <v>1</v>
      </c>
      <c r="AB29" s="1576">
        <f t="shared" si="4"/>
        <v>1</v>
      </c>
      <c r="AC29" s="1576">
        <f t="shared" si="5"/>
        <v>1</v>
      </c>
    </row>
    <row r="30" spans="1:29" ht="15">
      <c r="A30" s="931"/>
      <c r="B30" s="582" t="s">
        <v>806</v>
      </c>
      <c r="C30" s="932" t="s">
        <v>3143</v>
      </c>
      <c r="D30" s="540">
        <v>100</v>
      </c>
      <c r="E30" s="932" t="s">
        <v>3143</v>
      </c>
      <c r="F30" s="575">
        <f>SUMIF(88:88,E30,89:89)-SUMIF(88:88,C30,89:89)+100</f>
        <v>100</v>
      </c>
      <c r="G30" s="932" t="s">
        <v>3143</v>
      </c>
      <c r="H30" s="540">
        <f>SUMIF(88:88,E30,89:89)-SUMIF(88:88,C30,89:89)+100</f>
        <v>100</v>
      </c>
      <c r="I30" s="932" t="s">
        <v>3143</v>
      </c>
      <c r="J30" s="540">
        <f>SUMIF(88:88,E30,89:89)-SUMIF(88:88,C30,89:89)+100</f>
        <v>100</v>
      </c>
      <c r="K30" s="584">
        <v>1</v>
      </c>
      <c r="L30" s="2142"/>
      <c r="M30" s="2134"/>
      <c r="N30" s="2134"/>
      <c r="O30" s="2141"/>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20" customFormat="1" ht="15">
      <c r="A31" s="933"/>
      <c r="B31" s="582" t="s">
        <v>807</v>
      </c>
      <c r="C31" s="880">
        <v>35</v>
      </c>
      <c r="D31" s="255">
        <v>100</v>
      </c>
      <c r="E31" s="880">
        <v>33</v>
      </c>
      <c r="F31" s="575">
        <f>LOOKUP(E31,91:91,92:92)-LOOKUP(C31,91:91,92:92)+100</f>
        <v>100</v>
      </c>
      <c r="G31" s="880">
        <v>32</v>
      </c>
      <c r="H31" s="540">
        <f>LOOKUP(G31,91:91,92:92)-LOOKUP(C31,91:91,92:92)+100</f>
        <v>100</v>
      </c>
      <c r="I31" s="880">
        <v>44</v>
      </c>
      <c r="J31" s="540">
        <f>LOOKUP(I31,91:91,92:92)-LOOKUP(C31,91:91,92:92)+100</f>
        <v>101</v>
      </c>
      <c r="K31" s="584">
        <v>1</v>
      </c>
      <c r="L31" s="2135"/>
      <c r="M31" s="2136"/>
      <c r="N31" s="2136"/>
      <c r="O31" s="2137"/>
      <c r="P31" s="3387"/>
      <c r="Q31" s="1151" t="str">
        <f t="shared" si="11"/>
        <v>停车位面积</v>
      </c>
      <c r="R31" s="1568" t="s">
        <v>8</v>
      </c>
      <c r="S31" s="1569">
        <f t="shared" si="12"/>
        <v>100</v>
      </c>
      <c r="T31" s="1568" t="s">
        <v>8</v>
      </c>
      <c r="U31" s="1569">
        <f t="shared" si="13"/>
        <v>100</v>
      </c>
      <c r="V31" s="1568" t="s">
        <v>8</v>
      </c>
      <c r="W31" s="1569">
        <f t="shared" si="14"/>
        <v>101</v>
      </c>
      <c r="X31" s="1570"/>
      <c r="Y31" s="3387"/>
      <c r="Z31" s="1150" t="str">
        <f t="shared" si="15"/>
        <v>停车位面积</v>
      </c>
      <c r="AA31" s="1571">
        <f t="shared" si="3"/>
        <v>1</v>
      </c>
      <c r="AB31" s="1571">
        <f t="shared" si="4"/>
        <v>1</v>
      </c>
      <c r="AC31" s="1571">
        <f t="shared" si="5"/>
        <v>0.99009900990099009</v>
      </c>
    </row>
    <row r="32" spans="1:29" ht="15">
      <c r="A32" s="931"/>
      <c r="B32" s="582" t="s">
        <v>808</v>
      </c>
      <c r="C32" s="574" t="s">
        <v>3144</v>
      </c>
      <c r="D32" s="540">
        <v>100</v>
      </c>
      <c r="E32" s="574" t="s">
        <v>3144</v>
      </c>
      <c r="F32" s="575">
        <f>SUMIF(93:93,E32,94:94)-SUMIF(93:93,C32,94:94)+100</f>
        <v>100</v>
      </c>
      <c r="G32" s="574" t="s">
        <v>3144</v>
      </c>
      <c r="H32" s="540">
        <f>SUMIF(93:93,G32,94:94)-SUMIF(93:93,C32,94:94)+100</f>
        <v>100</v>
      </c>
      <c r="I32" s="574" t="s">
        <v>3144</v>
      </c>
      <c r="J32" s="540">
        <f>SUMIF(93:93,I32,94:94)-SUMIF(93:93,C32,94:94)+100</f>
        <v>100</v>
      </c>
      <c r="K32" s="584">
        <v>1</v>
      </c>
      <c r="L32" s="2142"/>
      <c r="M32" s="2134"/>
      <c r="N32" s="2134"/>
      <c r="O32" s="2141"/>
      <c r="P32" s="3387" t="s">
        <v>546</v>
      </c>
      <c r="Q32" s="1572" t="str">
        <f t="shared" si="11"/>
        <v>车位类型</v>
      </c>
      <c r="R32" s="1573" t="s">
        <v>8</v>
      </c>
      <c r="S32" s="1574">
        <f t="shared" si="12"/>
        <v>100</v>
      </c>
      <c r="T32" s="1573" t="s">
        <v>8</v>
      </c>
      <c r="U32" s="1574">
        <f t="shared" si="13"/>
        <v>100</v>
      </c>
      <c r="V32" s="1573" t="s">
        <v>8</v>
      </c>
      <c r="W32" s="1574">
        <f t="shared" si="14"/>
        <v>100</v>
      </c>
      <c r="X32" s="1567"/>
      <c r="Y32" s="3387" t="s">
        <v>546</v>
      </c>
      <c r="Z32" s="1575" t="str">
        <f t="shared" si="15"/>
        <v>车位类型</v>
      </c>
      <c r="AA32" s="1576">
        <f t="shared" si="3"/>
        <v>1</v>
      </c>
      <c r="AB32" s="1576">
        <f t="shared" si="4"/>
        <v>1</v>
      </c>
      <c r="AC32" s="1576">
        <f t="shared" si="5"/>
        <v>1</v>
      </c>
    </row>
    <row r="33" spans="1:29" ht="15.75" thickBot="1">
      <c r="A33" s="931"/>
      <c r="B33" s="582" t="s">
        <v>809</v>
      </c>
      <c r="C33" s="574" t="s">
        <v>3049</v>
      </c>
      <c r="D33" s="540">
        <v>100</v>
      </c>
      <c r="E33" s="574" t="s">
        <v>3049</v>
      </c>
      <c r="F33" s="575">
        <f>SUMIF(95:95,E33,96:96)-SUMIF(95:95,C33,96:96)+100</f>
        <v>100</v>
      </c>
      <c r="G33" s="574" t="s">
        <v>3049</v>
      </c>
      <c r="H33" s="540">
        <f>SUMIF(95:95,G33,96:96)-SUMIF(95:95,C33,96:96)+100</f>
        <v>100</v>
      </c>
      <c r="I33" s="574" t="s">
        <v>3049</v>
      </c>
      <c r="J33" s="540">
        <f>SUMIF(95:95,I33,96:96)-SUMIF(95:95,C33,96:96)+100</f>
        <v>100</v>
      </c>
      <c r="K33" s="584">
        <v>2</v>
      </c>
      <c r="L33" s="2142"/>
      <c r="M33" s="2134"/>
      <c r="N33" s="2134"/>
      <c r="O33" s="2141"/>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6" t="s">
        <v>2075</v>
      </c>
      <c r="B37" s="1847" t="s">
        <v>2076</v>
      </c>
      <c r="C37" s="2627" t="s">
        <v>1</v>
      </c>
      <c r="D37" s="2628"/>
      <c r="E37" s="2629">
        <v>5545</v>
      </c>
      <c r="F37" s="2630"/>
      <c r="G37" s="2631">
        <v>5848</v>
      </c>
      <c r="H37" s="2632"/>
      <c r="I37" s="2629">
        <v>5743</v>
      </c>
      <c r="J37" s="2632"/>
      <c r="K37" s="1611"/>
      <c r="L37" s="2144"/>
      <c r="M37" s="2145"/>
      <c r="N37" s="2134"/>
      <c r="O37" s="2145"/>
      <c r="P37" s="3382" t="str">
        <f>A37</f>
        <v>成交单价</v>
      </c>
      <c r="Q37" s="3382"/>
      <c r="R37" s="3483">
        <f>E37</f>
        <v>5545</v>
      </c>
      <c r="S37" s="3483"/>
      <c r="T37" s="3483">
        <f>G37</f>
        <v>5848</v>
      </c>
      <c r="U37" s="3483"/>
      <c r="V37" s="3483">
        <f>I37</f>
        <v>5743</v>
      </c>
      <c r="W37" s="3483"/>
      <c r="X37" s="1559"/>
      <c r="Y37" s="1581"/>
      <c r="Z37" s="1559"/>
      <c r="AA37" s="1559"/>
      <c r="AB37" s="1559"/>
      <c r="AC37" s="1559"/>
    </row>
    <row r="38" spans="1:29" ht="15.75" thickBot="1">
      <c r="A38" s="615" t="s">
        <v>2757</v>
      </c>
      <c r="B38" s="888"/>
      <c r="C38" s="2633">
        <f>R39</f>
        <v>5882</v>
      </c>
      <c r="D38" s="2634"/>
      <c r="E38" s="2635">
        <f>R38</f>
        <v>5629</v>
      </c>
      <c r="F38" s="2635"/>
      <c r="G38" s="2633">
        <f>T38</f>
        <v>6156</v>
      </c>
      <c r="H38" s="2634"/>
      <c r="I38" s="2635">
        <f>V38</f>
        <v>5862</v>
      </c>
      <c r="J38" s="2634"/>
      <c r="K38" s="1612"/>
      <c r="L38" s="2144"/>
      <c r="M38" s="2145"/>
      <c r="N38" s="2145"/>
      <c r="O38" s="2145"/>
      <c r="P38" s="3382" t="str">
        <f>A38</f>
        <v>比较价格（元/平方米）</v>
      </c>
      <c r="Q38" s="3382"/>
      <c r="R38" s="3483">
        <f>IF(F1="售价",ROUND(PRODUCT(R37,AA7:AA36),0),ROUND(PRODUCT(R37,AA7:AA36),1))</f>
        <v>5629</v>
      </c>
      <c r="S38" s="3483"/>
      <c r="T38" s="3483">
        <f>IF(F1="售价",ROUND(PRODUCT(T37,AB7:AB36),0),ROUND(PRODUCT(T37,AB7:AB36),1))</f>
        <v>6156</v>
      </c>
      <c r="U38" s="3483"/>
      <c r="V38" s="3483">
        <f>IF(F1="售价",ROUND(PRODUCT(V37,AC7:AC36),0),ROUND(PRODUCT(V37,AC7:AC36),1))</f>
        <v>5862</v>
      </c>
      <c r="W38" s="3483"/>
      <c r="X38" s="1559"/>
      <c r="Y38" s="1559"/>
      <c r="Z38" s="1559"/>
      <c r="AA38" s="1559"/>
      <c r="AB38" s="1559"/>
      <c r="AC38" s="1559"/>
    </row>
    <row r="39" spans="1:29" ht="15.75" thickBot="1">
      <c r="A39" s="621" t="s">
        <v>2926</v>
      </c>
      <c r="B39" s="622"/>
      <c r="C39" s="2636">
        <f>R39</f>
        <v>5882</v>
      </c>
      <c r="D39" s="2636"/>
      <c r="E39" s="2636"/>
      <c r="F39" s="2636"/>
      <c r="G39" s="2636"/>
      <c r="H39" s="2636"/>
      <c r="I39" s="2636"/>
      <c r="J39" s="2636"/>
      <c r="K39" s="1613"/>
      <c r="L39" s="2144"/>
      <c r="M39" s="2145"/>
      <c r="N39" s="2145"/>
      <c r="O39" s="2145"/>
      <c r="P39" s="3404" t="str">
        <f>A39</f>
        <v>估价对象XX用房的比较价格（楼面单价，元/平方米）</v>
      </c>
      <c r="Q39" s="3405"/>
      <c r="R39" s="3482">
        <f>IF(F1="售价",ROUND(AVERAGE(R38:V38),0),ROUND(AVERAGE(R38:V38),1))</f>
        <v>5882</v>
      </c>
      <c r="S39" s="3482"/>
      <c r="T39" s="3482"/>
      <c r="U39" s="3482"/>
      <c r="V39" s="3482"/>
      <c r="W39" s="3482"/>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553</v>
      </c>
      <c r="D42" s="625"/>
      <c r="E42" s="626">
        <f>IF(E37&lt;E38,E38/E37-1,E37/E38-1)</f>
        <v>1.5148782687105511E-2</v>
      </c>
      <c r="F42" s="627" t="str">
        <f>IF(OR(E42&gt;=0.3,E42&lt;=-0.3),"超过30%","")</f>
        <v/>
      </c>
      <c r="G42" s="626">
        <f>IF(G37&lt;G38,G38/G37-1,G37/G38-1)</f>
        <v>5.2667578659370662E-2</v>
      </c>
      <c r="H42" s="627" t="str">
        <f>IF(OR(G42&gt;=0.3,G42&lt;=-0.3),"超过30%","")</f>
        <v/>
      </c>
      <c r="I42" s="626">
        <f>IF(I37&lt;I38,I38/I37-1,I37/I38-1)</f>
        <v>2.0720877590109765E-2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554</v>
      </c>
      <c r="D43" s="628"/>
      <c r="E43" s="626">
        <f>IF(E38&lt;G38,G38/E38-1,E38/G38-1)</f>
        <v>9.36223130218512E-2</v>
      </c>
      <c r="F43" s="627" t="str">
        <f>IF(OR(E43&gt;=0.2,E43&lt;=-0.2),"超过20%","")</f>
        <v/>
      </c>
      <c r="G43" s="626">
        <f>IF(G38&lt;I38,I38/G38-1,G38/I38-1)</f>
        <v>5.0153531218014358E-2</v>
      </c>
      <c r="H43" s="627" t="str">
        <f>IF(OR(G43&gt;=0.2,G43&lt;=-0.2),"超过20%","")</f>
        <v/>
      </c>
      <c r="I43" s="626">
        <f>IF(I38&lt;E38,E38/I38-1,I38/E38-1)</f>
        <v>4.1392787351216986E-2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555</v>
      </c>
      <c r="D44" s="628"/>
      <c r="E44" s="626">
        <f>IF(E37&lt;G37,G37/E37-1,E37/G37-1)</f>
        <v>5.4643823264201918E-2</v>
      </c>
      <c r="F44" s="627" t="str">
        <f>IF(OR(E44&gt;=0.3,E44&lt;=-0.3),"超过30%","")</f>
        <v/>
      </c>
      <c r="G44" s="626">
        <f>IF(G37&lt;I37,I37/G37-1,G37/I37-1)</f>
        <v>1.8283127285390943E-2</v>
      </c>
      <c r="H44" s="627" t="str">
        <f>IF(OR(G44&gt;=0.3,G44&lt;=-0.3),"超过30%","")</f>
        <v/>
      </c>
      <c r="I44" s="626">
        <f>IF(I37&lt;E37,E37/I37-1,I37/E37-1)</f>
        <v>3.5707844905320085E-2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525</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571</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527</v>
      </c>
      <c r="B51" s="648"/>
      <c r="C51" s="660" t="s">
        <v>572</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573</v>
      </c>
      <c r="B53" s="665" t="s">
        <v>530</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575</v>
      </c>
      <c r="D65" s="708" t="s">
        <v>576</v>
      </c>
      <c r="E65" s="708" t="s">
        <v>577</v>
      </c>
      <c r="F65" s="708" t="s">
        <v>578</v>
      </c>
      <c r="G65" s="708" t="s">
        <v>579</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740</v>
      </c>
      <c r="C69" s="708" t="s">
        <v>575</v>
      </c>
      <c r="D69" s="708" t="s">
        <v>576</v>
      </c>
      <c r="E69" s="708" t="s">
        <v>577</v>
      </c>
      <c r="F69" s="708" t="s">
        <v>578</v>
      </c>
      <c r="G69" s="708" t="s">
        <v>579</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741</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547</v>
      </c>
      <c r="B79" s="665" t="s">
        <v>810</v>
      </c>
      <c r="C79" s="704" t="str">
        <f>C26</f>
        <v>住宅</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98</v>
      </c>
      <c r="E80" s="679">
        <f t="shared" si="18"/>
        <v>96</v>
      </c>
      <c r="F80" s="679">
        <f t="shared" si="18"/>
        <v>94</v>
      </c>
      <c r="G80" s="679">
        <f t="shared" si="18"/>
        <v>92</v>
      </c>
      <c r="H80" s="679">
        <f t="shared" si="18"/>
        <v>90</v>
      </c>
      <c r="I80" s="679">
        <f t="shared" si="18"/>
        <v>88</v>
      </c>
      <c r="J80" s="679">
        <f t="shared" si="18"/>
        <v>86</v>
      </c>
      <c r="K80" s="679">
        <f t="shared" si="18"/>
        <v>84</v>
      </c>
      <c r="L80" s="679">
        <f t="shared" si="18"/>
        <v>82</v>
      </c>
      <c r="M80" s="680">
        <f t="shared" si="18"/>
        <v>80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747</v>
      </c>
      <c r="C83" s="688" t="s">
        <v>3149</v>
      </c>
      <c r="D83" s="688" t="s">
        <v>3150</v>
      </c>
      <c r="E83" s="688" t="s">
        <v>3142</v>
      </c>
      <c r="F83" s="718" t="s">
        <v>3151</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99</v>
      </c>
      <c r="E84" s="679">
        <f t="shared" si="19"/>
        <v>98</v>
      </c>
      <c r="F84" s="679">
        <f t="shared" si="19"/>
        <v>97</v>
      </c>
      <c r="G84" s="679">
        <f t="shared" si="19"/>
        <v>96</v>
      </c>
      <c r="H84" s="679">
        <f t="shared" si="19"/>
        <v>95</v>
      </c>
      <c r="I84" s="679">
        <f t="shared" si="19"/>
        <v>94</v>
      </c>
      <c r="J84" s="679">
        <f t="shared" si="19"/>
        <v>93</v>
      </c>
      <c r="K84" s="679">
        <f t="shared" si="19"/>
        <v>92</v>
      </c>
      <c r="L84" s="679">
        <f t="shared" si="19"/>
        <v>91</v>
      </c>
      <c r="M84" s="680">
        <f t="shared" si="19"/>
        <v>90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102</v>
      </c>
      <c r="E87" s="679">
        <f t="shared" ref="E87:M87" si="20">D87+$K$29</f>
        <v>104</v>
      </c>
      <c r="F87" s="679">
        <f t="shared" si="20"/>
        <v>106</v>
      </c>
      <c r="G87" s="679">
        <f t="shared" si="20"/>
        <v>108</v>
      </c>
      <c r="H87" s="679">
        <f t="shared" si="20"/>
        <v>110</v>
      </c>
      <c r="I87" s="679">
        <f t="shared" si="20"/>
        <v>112</v>
      </c>
      <c r="J87" s="679">
        <f t="shared" si="20"/>
        <v>114</v>
      </c>
      <c r="K87" s="679">
        <f t="shared" si="20"/>
        <v>116</v>
      </c>
      <c r="L87" s="679">
        <f t="shared" si="20"/>
        <v>118</v>
      </c>
      <c r="M87" s="679">
        <f t="shared" si="20"/>
        <v>120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813</v>
      </c>
      <c r="C88" s="3186" t="s">
        <v>3152</v>
      </c>
      <c r="D88" s="3186" t="s">
        <v>3153</v>
      </c>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814</v>
      </c>
      <c r="C90" s="708" t="str">
        <f>C91&amp;"(含)"&amp;"-"&amp;D91</f>
        <v>0(含)-20</v>
      </c>
      <c r="D90" s="708" t="str">
        <f t="shared" ref="D90:L90" si="22">D91&amp;"(含)"&amp;"-"&amp;E91</f>
        <v>20(含)-40</v>
      </c>
      <c r="E90" s="708" t="str">
        <f t="shared" si="22"/>
        <v>40(含)-60</v>
      </c>
      <c r="F90" s="708" t="str">
        <f t="shared" si="22"/>
        <v>60(含)-</v>
      </c>
      <c r="G90" s="708" t="str">
        <f t="shared" si="22"/>
        <v>(含)-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40</v>
      </c>
      <c r="F91" s="730">
        <v>60</v>
      </c>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815</v>
      </c>
      <c r="C93" s="3187" t="s">
        <v>3154</v>
      </c>
      <c r="D93" s="3187" t="s">
        <v>3155</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99</v>
      </c>
      <c r="E94" s="679">
        <f t="shared" si="23"/>
        <v>98</v>
      </c>
      <c r="F94" s="679">
        <f t="shared" si="23"/>
        <v>97</v>
      </c>
      <c r="G94" s="679">
        <f t="shared" si="23"/>
        <v>96</v>
      </c>
      <c r="H94" s="679">
        <f t="shared" si="23"/>
        <v>95</v>
      </c>
      <c r="I94" s="679">
        <f t="shared" si="23"/>
        <v>94</v>
      </c>
      <c r="J94" s="679">
        <f t="shared" si="23"/>
        <v>93</v>
      </c>
      <c r="K94" s="679">
        <f t="shared" si="23"/>
        <v>92</v>
      </c>
      <c r="L94" s="679">
        <f t="shared" si="23"/>
        <v>91</v>
      </c>
      <c r="M94" s="680">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816</v>
      </c>
      <c r="C95" s="3186" t="s">
        <v>3156</v>
      </c>
      <c r="D95" s="3186" t="s">
        <v>3157</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4" stopIfTrue="1" operator="containsText" text="超过">
      <formula>NOT(ISERROR(SEARCH("超过",F42)))</formula>
    </cfRule>
  </conditionalFormatting>
  <conditionalFormatting sqref="J44">
    <cfRule type="containsText" dxfId="35" priority="13" stopIfTrue="1" operator="containsText" text="超过">
      <formula>NOT(ISERROR(SEARCH("超过",J44)))</formula>
    </cfRule>
  </conditionalFormatting>
  <conditionalFormatting sqref="H44">
    <cfRule type="containsText" dxfId="34" priority="12" stopIfTrue="1" operator="containsText" text="超过">
      <formula>NOT(ISERROR(SEARCH("超过",H44)))</formula>
    </cfRule>
  </conditionalFormatting>
  <conditionalFormatting sqref="F44">
    <cfRule type="containsText" dxfId="33" priority="11" stopIfTrue="1" operator="containsText" text="超过">
      <formula>NOT(ISERROR(SEARCH("超过",F44)))</formula>
    </cfRule>
  </conditionalFormatting>
  <conditionalFormatting sqref="F43 H43 J43">
    <cfRule type="containsText" dxfId="32" priority="10" stopIfTrue="1" operator="containsText" text="超过">
      <formula>NOT(ISERROR(SEARCH("超过",F43)))</formula>
    </cfRule>
  </conditionalFormatting>
  <conditionalFormatting sqref="E42">
    <cfRule type="expression" dxfId="31" priority="9" stopIfTrue="1">
      <formula>$F$42="超过30%"</formula>
    </cfRule>
  </conditionalFormatting>
  <conditionalFormatting sqref="G44">
    <cfRule type="expression" dxfId="30" priority="8" stopIfTrue="1">
      <formula>$H$54+$H$44="超过30%"</formula>
    </cfRule>
  </conditionalFormatting>
  <conditionalFormatting sqref="E43">
    <cfRule type="expression" dxfId="29" priority="7" stopIfTrue="1">
      <formula>$F$43="超过20%"</formula>
    </cfRule>
  </conditionalFormatting>
  <conditionalFormatting sqref="E44">
    <cfRule type="expression" dxfId="28" priority="6" stopIfTrue="1">
      <formula>$F$44="超过30%"</formula>
    </cfRule>
  </conditionalFormatting>
  <conditionalFormatting sqref="G42">
    <cfRule type="expression" dxfId="27" priority="5" stopIfTrue="1">
      <formula>$H$52+$H$42="超过30%"</formula>
    </cfRule>
  </conditionalFormatting>
  <conditionalFormatting sqref="G43">
    <cfRule type="expression" dxfId="26" priority="4" stopIfTrue="1">
      <formula>$H$43="超过20%"</formula>
    </cfRule>
  </conditionalFormatting>
  <conditionalFormatting sqref="I42">
    <cfRule type="expression" dxfId="25" priority="3" stopIfTrue="1">
      <formula>$J$52+$J$42="超过30%"</formula>
    </cfRule>
  </conditionalFormatting>
  <conditionalFormatting sqref="I43">
    <cfRule type="expression" dxfId="24" priority="2" stopIfTrue="1">
      <formula>$J$53+$J$43="超过20%"</formula>
    </cfRule>
  </conditionalFormatting>
  <conditionalFormatting sqref="I44">
    <cfRule type="expression" dxfId="2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8" t="s">
        <v>794</v>
      </c>
      <c r="D4" s="3389"/>
      <c r="E4" s="3413" t="s">
        <v>795</v>
      </c>
      <c r="F4" s="3414"/>
      <c r="G4" s="3388" t="s">
        <v>796</v>
      </c>
      <c r="H4" s="3389"/>
      <c r="I4" s="3388" t="s">
        <v>797</v>
      </c>
      <c r="J4" s="3389"/>
      <c r="K4" s="514" t="s">
        <v>798</v>
      </c>
      <c r="L4" s="2133"/>
      <c r="M4" s="2134"/>
      <c r="N4" s="2134"/>
      <c r="O4" s="2134"/>
      <c r="P4" s="3390" t="s">
        <v>799</v>
      </c>
      <c r="Q4" s="3391"/>
      <c r="R4" s="3376" t="s">
        <v>795</v>
      </c>
      <c r="S4" s="3377"/>
      <c r="T4" s="3376" t="s">
        <v>796</v>
      </c>
      <c r="U4" s="3377"/>
      <c r="V4" s="3396" t="s">
        <v>797</v>
      </c>
      <c r="W4" s="3396"/>
      <c r="X4" s="1567"/>
      <c r="Y4" s="3376" t="s">
        <v>799</v>
      </c>
      <c r="Z4" s="3377"/>
      <c r="AA4" s="3371" t="s">
        <v>795</v>
      </c>
      <c r="AB4" s="3372" t="s">
        <v>796</v>
      </c>
      <c r="AC4" s="3371" t="s">
        <v>797</v>
      </c>
    </row>
    <row r="5" spans="1:29" ht="15">
      <c r="A5" s="515"/>
      <c r="B5" s="516"/>
      <c r="C5" s="3399" t="s">
        <v>2920</v>
      </c>
      <c r="D5" s="3400"/>
      <c r="E5" s="3415" t="s">
        <v>2921</v>
      </c>
      <c r="F5" s="3416"/>
      <c r="G5" s="3399" t="s">
        <v>2922</v>
      </c>
      <c r="H5" s="3400"/>
      <c r="I5" s="3399" t="s">
        <v>2923</v>
      </c>
      <c r="J5" s="3400"/>
      <c r="K5" s="514"/>
      <c r="L5" s="2133"/>
      <c r="M5" s="2134"/>
      <c r="N5" s="2134"/>
      <c r="O5" s="2134"/>
      <c r="P5" s="3392"/>
      <c r="Q5" s="3393"/>
      <c r="R5" s="3378"/>
      <c r="S5" s="3379"/>
      <c r="T5" s="3378"/>
      <c r="U5" s="3379"/>
      <c r="V5" s="3396"/>
      <c r="W5" s="3396"/>
      <c r="X5" s="1567"/>
      <c r="Y5" s="3378"/>
      <c r="Z5" s="3379"/>
      <c r="AA5" s="3372"/>
      <c r="AB5" s="3372"/>
      <c r="AC5" s="3372"/>
    </row>
    <row r="6" spans="1:29" ht="15.75" thickBot="1">
      <c r="A6" s="517"/>
      <c r="B6" s="518"/>
      <c r="C6" s="3397" t="s">
        <v>2924</v>
      </c>
      <c r="D6" s="3398"/>
      <c r="E6" s="3417" t="s">
        <v>2924</v>
      </c>
      <c r="F6" s="3418"/>
      <c r="G6" s="3397" t="s">
        <v>2924</v>
      </c>
      <c r="H6" s="3398"/>
      <c r="I6" s="3397" t="s">
        <v>2924</v>
      </c>
      <c r="J6" s="3398"/>
      <c r="K6" s="514" t="s">
        <v>524</v>
      </c>
      <c r="L6" s="2133"/>
      <c r="M6" s="2134"/>
      <c r="N6" s="2134"/>
      <c r="O6" s="2134"/>
      <c r="P6" s="3394"/>
      <c r="Q6" s="3395"/>
      <c r="R6" s="3378"/>
      <c r="S6" s="3379"/>
      <c r="T6" s="3380"/>
      <c r="U6" s="3381"/>
      <c r="V6" s="3396"/>
      <c r="W6" s="3396"/>
      <c r="X6" s="1567"/>
      <c r="Y6" s="3380"/>
      <c r="Z6" s="3381"/>
      <c r="AA6" s="3373"/>
      <c r="AB6" s="3373"/>
      <c r="AC6" s="3373"/>
    </row>
    <row r="7" spans="1:29" s="1220" customFormat="1" ht="15.75" thickBot="1">
      <c r="A7" s="2912"/>
      <c r="B7" s="2919" t="s">
        <v>525</v>
      </c>
      <c r="C7" s="519">
        <f>'数据-取费表'!B2</f>
        <v>43427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4" t="s">
        <v>526</v>
      </c>
      <c r="Q7" s="3383"/>
      <c r="R7" s="1568" t="s">
        <v>8</v>
      </c>
      <c r="S7" s="1569">
        <f t="shared" ref="S7:S14" si="0">F7</f>
        <v>0</v>
      </c>
      <c r="T7" s="1568" t="s">
        <v>8</v>
      </c>
      <c r="U7" s="1569">
        <f t="shared" ref="U7:U14" si="1">H7</f>
        <v>0</v>
      </c>
      <c r="V7" s="1568" t="s">
        <v>8</v>
      </c>
      <c r="W7" s="1569">
        <f t="shared" ref="W7:W14" si="2">J7</f>
        <v>0</v>
      </c>
      <c r="X7" s="1570"/>
      <c r="Y7" s="3374" t="s">
        <v>526</v>
      </c>
      <c r="Z7" s="3375"/>
      <c r="AA7" s="1571" t="e">
        <f>D7/F7</f>
        <v>#DIV/0!</v>
      </c>
      <c r="AB7" s="1571" t="e">
        <f>D7/H7</f>
        <v>#DIV/0!</v>
      </c>
      <c r="AC7" s="1571" t="e">
        <f>D7/J7</f>
        <v>#DIV/0!</v>
      </c>
    </row>
    <row r="8" spans="1:29" s="1220" customFormat="1" ht="15.75" thickBot="1">
      <c r="A8" s="2913"/>
      <c r="B8" s="2920" t="s">
        <v>527</v>
      </c>
      <c r="C8" s="525" t="s">
        <v>572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34" si="3">D8/F8</f>
        <v>#DIV/0!</v>
      </c>
      <c r="AB8" s="1571" t="e">
        <f t="shared" ref="AB8:AB34" si="4">D8/H8</f>
        <v>#DIV/0!</v>
      </c>
      <c r="AC8" s="1571"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2" t="s">
        <v>531</v>
      </c>
      <c r="Q9" s="1151" t="str">
        <f t="shared" ref="Q9:Q14" si="6">B9</f>
        <v>用途</v>
      </c>
      <c r="R9" s="1568" t="s">
        <v>8</v>
      </c>
      <c r="S9" s="1569">
        <f t="shared" si="0"/>
        <v>100</v>
      </c>
      <c r="T9" s="1568" t="s">
        <v>8</v>
      </c>
      <c r="U9" s="1569">
        <f t="shared" si="1"/>
        <v>100</v>
      </c>
      <c r="V9" s="1568" t="s">
        <v>8</v>
      </c>
      <c r="W9" s="1569">
        <f t="shared" si="2"/>
        <v>100</v>
      </c>
      <c r="X9" s="1570"/>
      <c r="Y9" s="3339"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2"/>
      <c r="Q10" s="1151" t="str">
        <f t="shared" si="6"/>
        <v>土地使用年限（年）</v>
      </c>
      <c r="R10" s="1568" t="s">
        <v>8</v>
      </c>
      <c r="S10" s="1569">
        <f t="shared" si="0"/>
        <v>100</v>
      </c>
      <c r="T10" s="1568" t="s">
        <v>8</v>
      </c>
      <c r="U10" s="1569">
        <f t="shared" si="1"/>
        <v>100</v>
      </c>
      <c r="V10" s="1568" t="s">
        <v>8</v>
      </c>
      <c r="W10" s="1569">
        <f t="shared" si="2"/>
        <v>100</v>
      </c>
      <c r="X10" s="1570"/>
      <c r="Y10" s="3339"/>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2"/>
      <c r="Q11" s="1151">
        <f t="shared" si="6"/>
        <v>111</v>
      </c>
      <c r="R11" s="1568" t="s">
        <v>8</v>
      </c>
      <c r="S11" s="1569">
        <f t="shared" si="0"/>
        <v>100</v>
      </c>
      <c r="T11" s="1568" t="s">
        <v>8</v>
      </c>
      <c r="U11" s="1569">
        <f t="shared" si="1"/>
        <v>100</v>
      </c>
      <c r="V11" s="1568" t="s">
        <v>8</v>
      </c>
      <c r="W11" s="1569">
        <f t="shared" si="2"/>
        <v>100</v>
      </c>
      <c r="X11" s="1570"/>
      <c r="Y11" s="3339"/>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2"/>
      <c r="Q12" s="1151">
        <f t="shared" si="6"/>
        <v>111</v>
      </c>
      <c r="R12" s="1568" t="s">
        <v>8</v>
      </c>
      <c r="S12" s="1569">
        <f t="shared" si="0"/>
        <v>100</v>
      </c>
      <c r="T12" s="1568" t="s">
        <v>8</v>
      </c>
      <c r="U12" s="1569">
        <f t="shared" si="1"/>
        <v>100</v>
      </c>
      <c r="V12" s="1568" t="s">
        <v>8</v>
      </c>
      <c r="W12" s="1569">
        <f t="shared" si="2"/>
        <v>100</v>
      </c>
      <c r="X12" s="1570"/>
      <c r="Y12" s="3339"/>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2"/>
      <c r="Q13" s="1151">
        <f t="shared" si="6"/>
        <v>111</v>
      </c>
      <c r="R13" s="1568" t="s">
        <v>8</v>
      </c>
      <c r="S13" s="1569">
        <f t="shared" si="0"/>
        <v>100</v>
      </c>
      <c r="T13" s="1568" t="s">
        <v>8</v>
      </c>
      <c r="U13" s="1569">
        <f t="shared" si="1"/>
        <v>100</v>
      </c>
      <c r="V13" s="1568" t="s">
        <v>8</v>
      </c>
      <c r="W13" s="1569">
        <f t="shared" si="2"/>
        <v>100</v>
      </c>
      <c r="X13" s="1570"/>
      <c r="Y13" s="3339"/>
      <c r="Z13" s="1150">
        <f t="shared" si="7"/>
        <v>111</v>
      </c>
      <c r="AA13" s="1571">
        <f t="shared" si="3"/>
        <v>1</v>
      </c>
      <c r="AB13" s="1571">
        <f t="shared" si="4"/>
        <v>1</v>
      </c>
      <c r="AC13" s="1571">
        <f t="shared" si="5"/>
        <v>1</v>
      </c>
    </row>
    <row r="14" spans="1:29" ht="85.5">
      <c r="A14" s="2910" t="s">
        <v>2751</v>
      </c>
      <c r="B14" s="166" t="s">
        <v>539</v>
      </c>
      <c r="C14" s="921" t="str">
        <f>IF(B1="工业",估价对象房地状况!G4,估价对象房地状况!C6)</f>
        <v>估价对象周边道路状况一般，周边有820路;986路;郊87路等多条公交线路及地铁亦庄线经过，路网密集度一般，综合考虑估价对象交通便捷度较好。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4" t="s">
        <v>536</v>
      </c>
      <c r="Q14" s="1572" t="str">
        <f t="shared" si="6"/>
        <v>交通便捷度</v>
      </c>
      <c r="R14" s="1573" t="s">
        <v>8</v>
      </c>
      <c r="S14" s="1574">
        <f t="shared" si="0"/>
        <v>100</v>
      </c>
      <c r="T14" s="1573" t="s">
        <v>8</v>
      </c>
      <c r="U14" s="1574">
        <f t="shared" si="1"/>
        <v>100</v>
      </c>
      <c r="V14" s="1573" t="s">
        <v>8</v>
      </c>
      <c r="W14" s="1574">
        <f t="shared" si="2"/>
        <v>100</v>
      </c>
      <c r="X14" s="1567"/>
      <c r="Y14" s="3384"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32"/>
      <c r="B16" s="2603"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32"/>
      <c r="B18" s="2591" t="s">
        <v>2556</v>
      </c>
      <c r="C18" s="872" t="str">
        <f>IF(B1="工业",估价对象房地状况!G6,估价对象房地状况!C8)</f>
        <v>估价对象所在区域基础设施水平达七通。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5"/>
      <c r="Q18" s="2579" t="str">
        <f>B18</f>
        <v>基础设施水平</v>
      </c>
      <c r="R18" s="1573" t="s">
        <v>8</v>
      </c>
      <c r="S18" s="1574">
        <f>F18</f>
        <v>100</v>
      </c>
      <c r="T18" s="1573" t="s">
        <v>8</v>
      </c>
      <c r="U18" s="1574">
        <f>H18</f>
        <v>100</v>
      </c>
      <c r="V18" s="1573" t="s">
        <v>8</v>
      </c>
      <c r="W18" s="1574">
        <f>J18</f>
        <v>100</v>
      </c>
      <c r="X18" s="2581"/>
      <c r="Y18" s="3385"/>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85"/>
      <c r="Q19" s="2579"/>
      <c r="R19" s="1573"/>
      <c r="S19" s="1574"/>
      <c r="T19" s="1573"/>
      <c r="U19" s="1574"/>
      <c r="V19" s="1573"/>
      <c r="W19" s="1574"/>
      <c r="X19" s="2581"/>
      <c r="Y19" s="3385"/>
      <c r="Z19" s="2580"/>
      <c r="AA19" s="1576">
        <v>1</v>
      </c>
      <c r="AB19" s="1576">
        <v>1</v>
      </c>
      <c r="AC19" s="1576">
        <v>1</v>
      </c>
    </row>
    <row r="20" spans="1:29" ht="57">
      <c r="A20" s="532"/>
      <c r="B20" s="871" t="s">
        <v>800</v>
      </c>
      <c r="C20" s="872" t="str">
        <f>IF(B1="工业",估价对象房地状况!G7,估价对象房地状况!C9)</f>
        <v>估价对象周边2公里内有亦庄湿地公园等，综合考虑自然及人文环境一般。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5"/>
      <c r="Q25" s="1151">
        <f t="shared" si="11"/>
        <v>111</v>
      </c>
      <c r="R25" s="1568" t="s">
        <v>8</v>
      </c>
      <c r="S25" s="1569">
        <f>F25</f>
        <v>100</v>
      </c>
      <c r="T25" s="1568" t="s">
        <v>8</v>
      </c>
      <c r="U25" s="1569">
        <f>H25</f>
        <v>100</v>
      </c>
      <c r="V25" s="1568" t="s">
        <v>8</v>
      </c>
      <c r="W25" s="1569">
        <f>J25</f>
        <v>100</v>
      </c>
      <c r="X25" s="1570"/>
      <c r="Y25" s="3385"/>
      <c r="Z25" s="1150">
        <f>Q25</f>
        <v>111</v>
      </c>
      <c r="AA25" s="1576">
        <f>D25/F25</f>
        <v>1</v>
      </c>
      <c r="AB25" s="1576">
        <f>D25/H25</f>
        <v>1</v>
      </c>
      <c r="AC25" s="1576">
        <f>D25/J25</f>
        <v>1</v>
      </c>
    </row>
    <row r="26" spans="1:29" ht="15">
      <c r="A26" s="2907" t="s">
        <v>2752</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6"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7"/>
      <c r="Q31" s="1151" t="str">
        <f t="shared" si="11"/>
        <v>是否封闭</v>
      </c>
      <c r="R31" s="1568" t="s">
        <v>8</v>
      </c>
      <c r="S31" s="1569">
        <f t="shared" si="12"/>
        <v>100</v>
      </c>
      <c r="T31" s="1568" t="s">
        <v>8</v>
      </c>
      <c r="U31" s="1569">
        <f t="shared" si="13"/>
        <v>100</v>
      </c>
      <c r="V31" s="1568" t="s">
        <v>8</v>
      </c>
      <c r="W31" s="1569">
        <f t="shared" si="14"/>
        <v>100</v>
      </c>
      <c r="X31" s="1570"/>
      <c r="Y31" s="338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7" t="s">
        <v>546</v>
      </c>
      <c r="Q32" s="1572">
        <f t="shared" si="11"/>
        <v>111</v>
      </c>
      <c r="R32" s="1573" t="s">
        <v>8</v>
      </c>
      <c r="S32" s="1574">
        <f t="shared" si="12"/>
        <v>100</v>
      </c>
      <c r="T32" s="1573" t="s">
        <v>8</v>
      </c>
      <c r="U32" s="1574">
        <f t="shared" si="13"/>
        <v>100</v>
      </c>
      <c r="V32" s="1573" t="s">
        <v>8</v>
      </c>
      <c r="W32" s="1574">
        <f t="shared" si="14"/>
        <v>100</v>
      </c>
      <c r="X32" s="1567"/>
      <c r="Y32" s="3387"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7" t="s">
        <v>732</v>
      </c>
      <c r="B35" s="887"/>
      <c r="C35" s="2627" t="s">
        <v>1</v>
      </c>
      <c r="D35" s="2628"/>
      <c r="E35" s="2629"/>
      <c r="F35" s="2630"/>
      <c r="G35" s="2631"/>
      <c r="H35" s="2632"/>
      <c r="I35" s="2629"/>
      <c r="J35" s="2632"/>
      <c r="K35" s="1611"/>
      <c r="L35" s="2144"/>
      <c r="M35" s="2145"/>
      <c r="N35" s="2134"/>
      <c r="O35" s="2145"/>
      <c r="P35" s="3382" t="str">
        <f>A35</f>
        <v>成交单价（元/平方米）</v>
      </c>
      <c r="Q35" s="3382"/>
      <c r="R35" s="3483">
        <f>E35</f>
        <v>0</v>
      </c>
      <c r="S35" s="3483"/>
      <c r="T35" s="3483">
        <f>G35</f>
        <v>0</v>
      </c>
      <c r="U35" s="3483"/>
      <c r="V35" s="3483">
        <f>I35</f>
        <v>0</v>
      </c>
      <c r="W35" s="3483"/>
      <c r="X35" s="1559"/>
      <c r="Y35" s="1581"/>
      <c r="Z35" s="1559"/>
      <c r="AA35" s="1559"/>
      <c r="AB35" s="1559"/>
      <c r="AC35" s="1559"/>
    </row>
    <row r="36" spans="1:29" ht="15.75" thickBot="1">
      <c r="A36" s="615" t="s">
        <v>2757</v>
      </c>
      <c r="B36" s="888"/>
      <c r="C36" s="2633" t="e">
        <f>R37</f>
        <v>#DIV/0!</v>
      </c>
      <c r="D36" s="2634"/>
      <c r="E36" s="2635" t="e">
        <f>R36</f>
        <v>#DIV/0!</v>
      </c>
      <c r="F36" s="2635"/>
      <c r="G36" s="2633" t="e">
        <f>T36</f>
        <v>#DIV/0!</v>
      </c>
      <c r="H36" s="2634"/>
      <c r="I36" s="2635" t="e">
        <f>V36</f>
        <v>#DIV/0!</v>
      </c>
      <c r="J36" s="2634"/>
      <c r="K36" s="1612"/>
      <c r="L36" s="2144"/>
      <c r="M36" s="2145"/>
      <c r="N36" s="2134"/>
      <c r="O36" s="2145"/>
      <c r="P36" s="3382" t="str">
        <f>A36</f>
        <v>比较价格（元/平方米）</v>
      </c>
      <c r="Q36" s="33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9"/>
      <c r="Y36" s="1559"/>
      <c r="Z36" s="1559"/>
      <c r="AA36" s="1559"/>
      <c r="AB36" s="1559"/>
      <c r="AC36" s="1559"/>
    </row>
    <row r="37" spans="1:29" ht="15.75" thickBot="1">
      <c r="A37" s="621" t="s">
        <v>2926</v>
      </c>
      <c r="B37" s="622"/>
      <c r="C37" s="2636" t="e">
        <f>R37</f>
        <v>#DIV/0!</v>
      </c>
      <c r="D37" s="2636"/>
      <c r="E37" s="2636"/>
      <c r="F37" s="2636"/>
      <c r="G37" s="2636"/>
      <c r="H37" s="2636"/>
      <c r="I37" s="2636"/>
      <c r="J37" s="2636"/>
      <c r="K37" s="1613"/>
      <c r="L37" s="2144"/>
      <c r="M37" s="2145"/>
      <c r="N37" s="2145"/>
      <c r="O37" s="2145"/>
      <c r="P37" s="3404" t="str">
        <f>A37</f>
        <v>估价对象XX用房的比较价格（楼面单价，元/平方米）</v>
      </c>
      <c r="Q37" s="3405"/>
      <c r="R37" s="3482" t="e">
        <f>IF(F1="售价",ROUND(AVERAGE(R36:V36),0),ROUND(AVERAGE(R36:V36),1))</f>
        <v>#DIV/0!</v>
      </c>
      <c r="S37" s="3482"/>
      <c r="T37" s="3482"/>
      <c r="U37" s="3482"/>
      <c r="V37" s="3482"/>
      <c r="W37" s="3482"/>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525</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571</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527</v>
      </c>
      <c r="B49" s="648"/>
      <c r="C49" s="660" t="s">
        <v>572</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573</v>
      </c>
      <c r="B51" s="665" t="s">
        <v>530</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575</v>
      </c>
      <c r="D63" s="708" t="s">
        <v>576</v>
      </c>
      <c r="E63" s="708" t="s">
        <v>577</v>
      </c>
      <c r="F63" s="708" t="s">
        <v>578</v>
      </c>
      <c r="G63" s="708" t="s">
        <v>579</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740</v>
      </c>
      <c r="C67" s="708" t="s">
        <v>575</v>
      </c>
      <c r="D67" s="708" t="s">
        <v>576</v>
      </c>
      <c r="E67" s="708" t="s">
        <v>577</v>
      </c>
      <c r="F67" s="708" t="s">
        <v>578</v>
      </c>
      <c r="G67" s="708" t="s">
        <v>579</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547</v>
      </c>
      <c r="B77" s="665" t="s">
        <v>747</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813</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821</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823</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2" priority="14" stopIfTrue="1" operator="containsText" text="超过">
      <formula>NOT(ISERROR(SEARCH("超过",F40)))</formula>
    </cfRule>
  </conditionalFormatting>
  <conditionalFormatting sqref="J42">
    <cfRule type="containsText" dxfId="21" priority="13" stopIfTrue="1" operator="containsText" text="超过">
      <formula>NOT(ISERROR(SEARCH("超过",J42)))</formula>
    </cfRule>
  </conditionalFormatting>
  <conditionalFormatting sqref="H42">
    <cfRule type="containsText" dxfId="20" priority="12" stopIfTrue="1" operator="containsText" text="超过">
      <formula>NOT(ISERROR(SEARCH("超过",H42)))</formula>
    </cfRule>
  </conditionalFormatting>
  <conditionalFormatting sqref="F42">
    <cfRule type="containsText" dxfId="19" priority="11" stopIfTrue="1" operator="containsText" text="超过">
      <formula>NOT(ISERROR(SEARCH("超过",F42)))</formula>
    </cfRule>
  </conditionalFormatting>
  <conditionalFormatting sqref="F41 H41 J41">
    <cfRule type="containsText" dxfId="18" priority="10" stopIfTrue="1" operator="containsText" text="超过">
      <formula>NOT(ISERROR(SEARCH("超过",F41)))</formula>
    </cfRule>
  </conditionalFormatting>
  <conditionalFormatting sqref="E40">
    <cfRule type="expression" dxfId="17" priority="9" stopIfTrue="1">
      <formula>$F$40="超过30%"</formula>
    </cfRule>
  </conditionalFormatting>
  <conditionalFormatting sqref="G42">
    <cfRule type="expression" dxfId="16" priority="8" stopIfTrue="1">
      <formula>$H$54+$H$42="超过30%"</formula>
    </cfRule>
  </conditionalFormatting>
  <conditionalFormatting sqref="E41">
    <cfRule type="expression" dxfId="15" priority="7" stopIfTrue="1">
      <formula>$F$41="超过20%"</formula>
    </cfRule>
  </conditionalFormatting>
  <conditionalFormatting sqref="E42">
    <cfRule type="expression" dxfId="14" priority="6" stopIfTrue="1">
      <formula>$F$42="超过30%"</formula>
    </cfRule>
  </conditionalFormatting>
  <conditionalFormatting sqref="G40">
    <cfRule type="expression" dxfId="13" priority="5" stopIfTrue="1">
      <formula>$H$52+$H$40="超过30%"</formula>
    </cfRule>
  </conditionalFormatting>
  <conditionalFormatting sqref="G41">
    <cfRule type="expression" dxfId="12" priority="4" stopIfTrue="1">
      <formula>$H$53+$H$41="超过20%"</formula>
    </cfRule>
  </conditionalFormatting>
  <conditionalFormatting sqref="I40">
    <cfRule type="expression" dxfId="11" priority="3" stopIfTrue="1">
      <formula>$J$40="超过30%"</formula>
    </cfRule>
  </conditionalFormatting>
  <conditionalFormatting sqref="I41">
    <cfRule type="expression" dxfId="10" priority="2" stopIfTrue="1">
      <formula>$J$41="超过20%"</formula>
    </cfRule>
  </conditionalFormatting>
  <conditionalFormatting sqref="I42">
    <cfRule type="expression" dxfId="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493" t="s">
        <v>2302</v>
      </c>
      <c r="D1" s="3494"/>
      <c r="E1" s="3494"/>
      <c r="F1" s="3494"/>
      <c r="G1" s="3494"/>
      <c r="H1" s="3494"/>
      <c r="I1" s="3494"/>
      <c r="J1" s="3494"/>
      <c r="K1" s="3494"/>
      <c r="L1" s="3494"/>
      <c r="M1" s="3494"/>
      <c r="N1" s="3494"/>
      <c r="O1" s="3494"/>
      <c r="P1" s="3494"/>
      <c r="Q1" s="3494"/>
      <c r="R1" s="3494"/>
      <c r="S1" s="3495"/>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2919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2918</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2917</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2916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826</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43427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2036</v>
      </c>
      <c r="B1" s="3204"/>
      <c r="C1" s="3204"/>
      <c r="D1" s="3204"/>
      <c r="E1" s="3204"/>
      <c r="F1" s="3204"/>
      <c r="G1" s="3204"/>
      <c r="H1" s="3204"/>
      <c r="I1" s="3204"/>
      <c r="J1" s="3204"/>
      <c r="K1" s="3204"/>
      <c r="L1" s="3204"/>
      <c r="M1" s="3204"/>
      <c r="N1" s="3204"/>
      <c r="O1" s="3204"/>
      <c r="P1" s="3204"/>
      <c r="Q1" s="3204"/>
      <c r="R1" s="3204"/>
    </row>
    <row r="2" spans="1:18">
      <c r="A2" s="1808" t="s">
        <v>2038</v>
      </c>
      <c r="B2" s="1808"/>
      <c r="C2" s="1808"/>
      <c r="D2" s="1808"/>
      <c r="E2" s="1808"/>
      <c r="F2" s="1808"/>
      <c r="G2" s="1808"/>
      <c r="H2" s="1808"/>
      <c r="I2" s="1809"/>
      <c r="J2" s="1809"/>
      <c r="K2" s="1810" t="str">
        <f>"估价期日："&amp;TEXT(项目基本情况!D3,"yyyy年m月d日;;")</f>
        <v>估价期日：2018年11月23日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5" t="s">
        <v>2027</v>
      </c>
      <c r="B3" s="3205" t="s">
        <v>2728</v>
      </c>
      <c r="C3" s="3206" t="s">
        <v>2028</v>
      </c>
      <c r="D3" s="3205" t="s">
        <v>2732</v>
      </c>
      <c r="E3" s="3208" t="s">
        <v>2029</v>
      </c>
      <c r="F3" s="3208"/>
      <c r="G3" s="3208"/>
      <c r="H3" s="3208" t="s">
        <v>2030</v>
      </c>
      <c r="I3" s="3208"/>
      <c r="J3" s="3208"/>
      <c r="K3" s="3206" t="s">
        <v>2031</v>
      </c>
      <c r="L3" s="3206" t="s">
        <v>2032</v>
      </c>
      <c r="M3" s="3205" t="s">
        <v>2729</v>
      </c>
      <c r="N3" s="3207" t="str">
        <f>"（分摊）"&amp;项目基本情况!B16&amp;"国有建设用地使用权面积/㎡"</f>
        <v>（分摊）出让国有建设用地使用权面积/㎡</v>
      </c>
      <c r="O3" s="3205" t="s">
        <v>2061</v>
      </c>
      <c r="P3" s="3206" t="s">
        <v>2041</v>
      </c>
      <c r="Q3" s="3206" t="s">
        <v>2062</v>
      </c>
      <c r="R3" s="3206" t="s">
        <v>2033</v>
      </c>
    </row>
    <row r="4" spans="1:18" ht="36.75" customHeight="1">
      <c r="A4" s="3205"/>
      <c r="B4" s="3205"/>
      <c r="C4" s="3206"/>
      <c r="D4" s="3205"/>
      <c r="E4" s="2649" t="s">
        <v>2040</v>
      </c>
      <c r="F4" s="2649" t="s">
        <v>2741</v>
      </c>
      <c r="G4" s="2649" t="s">
        <v>2034</v>
      </c>
      <c r="H4" s="2649" t="s">
        <v>2035</v>
      </c>
      <c r="I4" s="2649" t="s">
        <v>2742</v>
      </c>
      <c r="J4" s="2649" t="s">
        <v>2034</v>
      </c>
      <c r="K4" s="3206"/>
      <c r="L4" s="3206"/>
      <c r="M4" s="3205"/>
      <c r="N4" s="3207"/>
      <c r="O4" s="3205"/>
      <c r="P4" s="3206"/>
      <c r="Q4" s="3206"/>
      <c r="R4" s="3206"/>
    </row>
    <row r="5" spans="1:18" ht="135" customHeight="1">
      <c r="A5" s="1943" t="s">
        <v>2652</v>
      </c>
      <c r="B5" s="2867" t="s">
        <v>2650</v>
      </c>
      <c r="C5" s="2648">
        <v>22</v>
      </c>
      <c r="D5" s="2647" t="s">
        <v>2651</v>
      </c>
      <c r="E5" s="1811" t="str">
        <f>项目基本情况!B12</f>
        <v>城镇住宅用地</v>
      </c>
      <c r="F5" s="2647">
        <v>258</v>
      </c>
      <c r="G5" s="1811" t="str">
        <f>项目基本情况!B13</f>
        <v>住宅</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33824.92</v>
      </c>
      <c r="O5" s="1811">
        <f>项目基本情况!C21</f>
        <v>124921.5</v>
      </c>
      <c r="P5" s="1811">
        <f ca="1">结果表!E42</f>
        <v>44416</v>
      </c>
      <c r="Q5" s="1811">
        <f ca="1">结果表!D42</f>
        <v>12027</v>
      </c>
      <c r="R5" s="1812">
        <f ca="1">结果表!C42</f>
        <v>150237</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3">
        <f ca="1">结果表!O39</f>
        <v>150237</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3"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3" t="str">
        <f>结果表!O41</f>
        <v>——</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9" t="s">
        <v>2063</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3.估价规划限制条件：详见《建设工程规划许可证》[2018规土（通）建字0031号]、《国有建设用地使用权出让合同》[电子监管号：1101002018B00580]。</v>
      </c>
      <c r="B4" s="3209"/>
      <c r="C4" s="3209"/>
      <c r="D4" s="3209"/>
    </row>
    <row r="5" spans="1:4">
      <c r="A5" s="3212" t="s">
        <v>2064</v>
      </c>
      <c r="B5" s="3212"/>
      <c r="C5" s="3212"/>
      <c r="D5" s="3212"/>
    </row>
    <row r="6" spans="1:4">
      <c r="A6" s="3209" t="s">
        <v>2042</v>
      </c>
      <c r="B6" s="3209"/>
      <c r="C6" s="3209"/>
      <c r="D6" s="3209"/>
    </row>
    <row r="7" spans="1:4" ht="33" customHeight="1">
      <c r="A7" s="3209" t="s">
        <v>2573</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v>
      </c>
      <c r="B11" s="3211"/>
      <c r="C11" s="3211"/>
      <c r="D11" s="3211"/>
    </row>
    <row r="12" spans="1:4" ht="168" customHeight="1">
      <c r="A12" s="3212" t="s">
        <v>2066</v>
      </c>
      <c r="B12" s="3212"/>
      <c r="C12" s="3212"/>
      <c r="D12" s="3212"/>
    </row>
    <row r="13" spans="1:4">
      <c r="A13" s="3210" t="s">
        <v>2743</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2699</v>
      </c>
      <c r="B17" s="3209"/>
      <c r="C17" s="3209"/>
      <c r="D17" s="3209"/>
    </row>
    <row r="18" spans="1:4">
      <c r="A18" s="3209" t="s">
        <v>2691</v>
      </c>
      <c r="B18" s="3209"/>
      <c r="C18" s="3209"/>
      <c r="D18" s="3209"/>
    </row>
    <row r="19" spans="1:4">
      <c r="A19" s="2868" t="s">
        <v>2692</v>
      </c>
      <c r="B19" s="2868" t="s">
        <v>2693</v>
      </c>
      <c r="C19" s="2868" t="s">
        <v>2694</v>
      </c>
      <c r="D19" s="2868" t="s">
        <v>2695</v>
      </c>
    </row>
    <row r="20" spans="1:4">
      <c r="A20" s="2868" t="str">
        <f>项目基本情况!B4</f>
        <v>欧红伟</v>
      </c>
      <c r="B20" s="2868">
        <f ca="1">项目基本情况!C4</f>
        <v>2000110082</v>
      </c>
      <c r="C20" s="2870"/>
      <c r="D20" s="1801" t="s">
        <v>2700</v>
      </c>
    </row>
    <row r="21" spans="1:4">
      <c r="A21" s="2868" t="str">
        <f>项目基本情况!D4</f>
        <v>崔锴</v>
      </c>
      <c r="B21" s="2868">
        <f ca="1">项目基本情况!E4</f>
        <v>2010110070</v>
      </c>
      <c r="C21" s="2870"/>
      <c r="D21" s="1801" t="s">
        <v>2701</v>
      </c>
    </row>
    <row r="23" spans="1:4">
      <c r="A23" s="3209" t="s">
        <v>2696</v>
      </c>
      <c r="B23" s="3209"/>
      <c r="C23" s="3209"/>
      <c r="D23" s="3209"/>
    </row>
    <row r="24" spans="1:4">
      <c r="A24" s="2868" t="s">
        <v>2692</v>
      </c>
      <c r="B24" s="2868" t="s">
        <v>2697</v>
      </c>
      <c r="C24" s="2868" t="s">
        <v>2694</v>
      </c>
      <c r="D24" s="2868" t="s">
        <v>2695</v>
      </c>
    </row>
    <row r="25" spans="1:4">
      <c r="A25" s="2871" t="s">
        <v>2698</v>
      </c>
      <c r="B25" s="2868" t="s">
        <v>948</v>
      </c>
      <c r="C25" s="2870"/>
      <c r="D25" s="1801" t="s">
        <v>2701</v>
      </c>
    </row>
    <row r="29" spans="1:4">
      <c r="D29" s="2869" t="s">
        <v>2037</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868</v>
      </c>
    </row>
    <row r="13" spans="1:7">
      <c r="A13" s="1171" t="s">
        <v>52</v>
      </c>
    </row>
    <row r="15" spans="1:7" ht="14.25">
      <c r="A15" s="3221" t="s">
        <v>53</v>
      </c>
      <c r="B15" s="3222" t="s">
        <v>842</v>
      </c>
      <c r="C15" s="3218"/>
    </row>
    <row r="16" spans="1:7" ht="14.25">
      <c r="A16" s="3221"/>
      <c r="B16" s="3219" t="s">
        <v>54</v>
      </c>
      <c r="C16" s="1172" t="s">
        <v>53</v>
      </c>
    </row>
    <row r="17" spans="1:3" ht="14.25">
      <c r="A17" s="3221"/>
      <c r="B17" s="3219"/>
      <c r="C17" s="1172" t="s">
        <v>55</v>
      </c>
    </row>
    <row r="18" spans="1:3" ht="14.25">
      <c r="A18" s="3221"/>
      <c r="B18" s="3219"/>
      <c r="C18" s="1172" t="s">
        <v>56</v>
      </c>
    </row>
    <row r="19" spans="1:3" ht="14.25">
      <c r="A19" s="3221"/>
      <c r="B19" s="3217" t="s">
        <v>57</v>
      </c>
      <c r="C19" s="3218"/>
    </row>
    <row r="20" spans="1:3" ht="14.25">
      <c r="A20" s="1173" t="s">
        <v>58</v>
      </c>
      <c r="B20" s="1174"/>
      <c r="C20" s="1175"/>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6" t="s">
        <v>833</v>
      </c>
    </row>
    <row r="25" spans="1:3" ht="14.25">
      <c r="A25" s="3220"/>
      <c r="B25" s="3224"/>
      <c r="C25" s="1176" t="s">
        <v>834</v>
      </c>
    </row>
    <row r="26" spans="1:3" ht="14.25">
      <c r="A26" s="3220"/>
      <c r="B26" s="3224"/>
      <c r="C26" s="1176" t="s">
        <v>835</v>
      </c>
    </row>
    <row r="27" spans="1:3" ht="14.25">
      <c r="A27" s="3220"/>
      <c r="B27" s="3224"/>
      <c r="C27" s="1176" t="s">
        <v>836</v>
      </c>
    </row>
    <row r="28" spans="1:3" ht="14.25">
      <c r="A28" s="3220"/>
      <c r="B28" s="3224"/>
      <c r="C28" s="1176" t="s">
        <v>837</v>
      </c>
    </row>
    <row r="29" spans="1:3" ht="14.25">
      <c r="A29" s="3220"/>
      <c r="B29" s="3224"/>
      <c r="C29" s="1176" t="s">
        <v>838</v>
      </c>
    </row>
    <row r="30" spans="1:3" ht="14.25">
      <c r="A30" s="3220"/>
      <c r="B30" s="3224"/>
      <c r="C30" s="1176" t="s">
        <v>839</v>
      </c>
    </row>
    <row r="31" spans="1:3" ht="14.25">
      <c r="A31" s="3220"/>
      <c r="B31" s="3224"/>
      <c r="C31" s="1176" t="s">
        <v>840</v>
      </c>
    </row>
    <row r="32" spans="1:3" ht="14.25">
      <c r="A32" s="3220"/>
      <c r="B32" s="3224"/>
      <c r="C32" s="1176" t="s">
        <v>1643</v>
      </c>
    </row>
    <row r="33" spans="1:3" ht="14.25">
      <c r="A33" s="3220"/>
      <c r="B33" s="3214" t="s">
        <v>1649</v>
      </c>
      <c r="C33" s="1176" t="s">
        <v>1644</v>
      </c>
    </row>
    <row r="34" spans="1:3" ht="14.25">
      <c r="A34" s="3220"/>
      <c r="B34" s="3215"/>
      <c r="C34" s="1181" t="s">
        <v>1645</v>
      </c>
    </row>
    <row r="35" spans="1:3" ht="14.25">
      <c r="A35" s="3220"/>
      <c r="B35" s="3215"/>
      <c r="C35" s="1182" t="s">
        <v>1646</v>
      </c>
    </row>
    <row r="36" spans="1:3" ht="14.25">
      <c r="A36" s="3220"/>
      <c r="B36" s="3215"/>
      <c r="C36" s="1182" t="s">
        <v>1647</v>
      </c>
    </row>
    <row r="37" spans="1:3" ht="14.25">
      <c r="A37" s="3220"/>
      <c r="B37" s="3216"/>
      <c r="C37" s="1183" t="s">
        <v>1648</v>
      </c>
    </row>
    <row r="38" spans="1:3">
      <c r="A38" s="1177" t="s">
        <v>841</v>
      </c>
    </row>
    <row r="41" spans="1:3">
      <c r="A41" s="1177" t="s">
        <v>68</v>
      </c>
    </row>
    <row r="42" spans="1:3" ht="14.25">
      <c r="A42" s="1178" t="s">
        <v>849</v>
      </c>
    </row>
    <row r="43" spans="1:3" ht="14.25">
      <c r="A43" s="1179" t="s">
        <v>69</v>
      </c>
    </row>
    <row r="44" spans="1:3" ht="14.25">
      <c r="A44" s="1178" t="s">
        <v>848</v>
      </c>
    </row>
    <row r="45" spans="1:3" ht="14.25">
      <c r="A45" s="1180" t="s">
        <v>850</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43457</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06">
        <v>43849</v>
      </c>
      <c r="D4" s="2343" t="s">
        <v>1911</v>
      </c>
      <c r="E4" s="2343">
        <f ca="1">IF(F4&lt;B2,"已过期",96010014)</f>
        <v>96010014</v>
      </c>
      <c r="F4" s="3007">
        <v>47118</v>
      </c>
    </row>
    <row r="5" spans="1:6" ht="20.25" customHeight="1">
      <c r="A5" s="2343" t="s">
        <v>1912</v>
      </c>
      <c r="B5" s="2343">
        <f ca="1">IF(C5&lt;B2,"已过期",1119970074)</f>
        <v>1119970074</v>
      </c>
      <c r="C5" s="3006">
        <v>43849</v>
      </c>
      <c r="D5" s="2343" t="s">
        <v>1912</v>
      </c>
      <c r="E5" s="2343">
        <f ca="1">IF(F5&lt;B2,"已过期",2002110027)</f>
        <v>2002110027</v>
      </c>
      <c r="F5" s="3007">
        <v>46752</v>
      </c>
    </row>
    <row r="6" spans="1:6" ht="20.25" customHeight="1">
      <c r="A6" s="2343" t="s">
        <v>1913</v>
      </c>
      <c r="B6" s="2343">
        <f ca="1">IF(C6&lt;B2,"已过期",1119970111)</f>
        <v>1119970111</v>
      </c>
      <c r="C6" s="3006">
        <v>43849</v>
      </c>
      <c r="D6" s="2343" t="s">
        <v>1913</v>
      </c>
      <c r="E6" s="2343">
        <f ca="1">IF(F6&lt;B2,"已过期",94010078)</f>
        <v>94010078</v>
      </c>
      <c r="F6" s="3007">
        <v>46387</v>
      </c>
    </row>
    <row r="7" spans="1:6" ht="20.25" customHeight="1">
      <c r="A7" s="2343" t="s">
        <v>1914</v>
      </c>
      <c r="B7" s="2343">
        <f ca="1">IF(C7&lt;B2,"已过期",1120050019)</f>
        <v>1120050019</v>
      </c>
      <c r="C7" s="3006">
        <v>44395</v>
      </c>
      <c r="D7" s="2343" t="s">
        <v>1914</v>
      </c>
      <c r="E7" s="2343">
        <f ca="1">IF(F7&lt;B2,"已过期",2002110030)</f>
        <v>2002110030</v>
      </c>
      <c r="F7" s="3007">
        <v>46387</v>
      </c>
    </row>
    <row r="8" spans="1:6" ht="20.25" customHeight="1">
      <c r="A8" s="2343" t="s">
        <v>1915</v>
      </c>
      <c r="B8" s="2343">
        <f ca="1">IF(C8&lt;B2,"已过期",1120000080)</f>
        <v>1120000080</v>
      </c>
      <c r="C8" s="3006">
        <v>43849</v>
      </c>
      <c r="D8" s="2343" t="s">
        <v>1915</v>
      </c>
      <c r="E8" s="2343">
        <f ca="1">IF(F8&lt;B2,"已过期",2000110082)</f>
        <v>2000110082</v>
      </c>
      <c r="F8" s="3007">
        <v>46387</v>
      </c>
    </row>
    <row r="9" spans="1:6" ht="20.25" customHeight="1">
      <c r="A9" s="2343" t="s">
        <v>1916</v>
      </c>
      <c r="B9" s="2343">
        <f ca="1">IF(C9&lt;B2,"已过期",1419970001)</f>
        <v>1419970001</v>
      </c>
      <c r="C9" s="3006">
        <v>43867</v>
      </c>
      <c r="D9" s="2343" t="s">
        <v>1916</v>
      </c>
      <c r="E9" s="2343">
        <f ca="1">IF(F9&lt;B2,"已过期",2002110125)</f>
        <v>2002110125</v>
      </c>
      <c r="F9" s="3007">
        <v>47118</v>
      </c>
    </row>
    <row r="10" spans="1:6" ht="20.25" customHeight="1">
      <c r="A10" s="2343" t="s">
        <v>1917</v>
      </c>
      <c r="B10" s="2343">
        <f ca="1">IF(C10&lt;B2,"已过期",1120060040)</f>
        <v>1120060040</v>
      </c>
      <c r="C10" s="3006">
        <v>43483</v>
      </c>
      <c r="D10" s="2343" t="s">
        <v>1917</v>
      </c>
      <c r="E10" s="2343">
        <f ca="1">IF(F10&lt;B2,"已过期",2004110096)</f>
        <v>2004110096</v>
      </c>
      <c r="F10" s="3007">
        <v>47118</v>
      </c>
    </row>
    <row r="11" spans="1:6" ht="20.25" customHeight="1">
      <c r="A11" s="2343" t="s">
        <v>1918</v>
      </c>
      <c r="B11" s="2343">
        <f ca="1">IF(C11&lt;B2,"已过期",1120100036)</f>
        <v>1120100036</v>
      </c>
      <c r="C11" s="3006">
        <v>43622</v>
      </c>
      <c r="D11" s="2343" t="s">
        <v>1918</v>
      </c>
      <c r="E11" s="2343">
        <f ca="1">IF(F11&lt;B2,"已过期",2010110070)</f>
        <v>2010110070</v>
      </c>
      <c r="F11" s="3007">
        <v>47907</v>
      </c>
    </row>
    <row r="12" spans="1:6" ht="20.25" customHeight="1">
      <c r="A12" s="2343" t="s">
        <v>2969</v>
      </c>
      <c r="B12" s="2343">
        <v>1120110054</v>
      </c>
      <c r="C12" s="3006">
        <v>43937</v>
      </c>
      <c r="D12" s="2343" t="s">
        <v>2969</v>
      </c>
      <c r="E12" s="2343">
        <v>2008110060</v>
      </c>
      <c r="F12" s="3007">
        <v>47177</v>
      </c>
    </row>
    <row r="13" spans="1:6" ht="20.25" customHeight="1">
      <c r="A13" s="2343" t="s">
        <v>1919</v>
      </c>
      <c r="B13" s="2343">
        <f ca="1">IF(C13&lt;B2,"已过期",1120070131)</f>
        <v>1120070131</v>
      </c>
      <c r="C13" s="3006">
        <v>43814</v>
      </c>
      <c r="D13" s="2343" t="s">
        <v>1919</v>
      </c>
      <c r="E13" s="2343">
        <v>2014110011</v>
      </c>
      <c r="F13" s="3007">
        <v>49302</v>
      </c>
    </row>
    <row r="14" spans="1:6" ht="20.25" customHeight="1">
      <c r="A14" s="2343" t="s">
        <v>1920</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1921</v>
      </c>
      <c r="B16" s="2343">
        <f ca="1">IF(C16&lt;B2,"已过期",1120140022)</f>
        <v>1120140022</v>
      </c>
      <c r="C16" s="3006">
        <v>44029</v>
      </c>
      <c r="D16" s="2343" t="s">
        <v>1921</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1922</v>
      </c>
      <c r="E21" s="2343">
        <f ca="1">IF(F21&lt;B2,"已过期",2011110090)</f>
        <v>2011110090</v>
      </c>
      <c r="F21" s="3007">
        <v>48302</v>
      </c>
    </row>
    <row r="22" spans="1:7" ht="20.25" customHeight="1">
      <c r="A22" s="2343" t="s">
        <v>1923</v>
      </c>
      <c r="B22" s="2343">
        <f ca="1">IF(C22&lt;B2,"已过期",1120020033)</f>
        <v>1120020033</v>
      </c>
      <c r="C22" s="3006">
        <v>44339</v>
      </c>
      <c r="D22" s="2343" t="s">
        <v>1923</v>
      </c>
      <c r="E22" s="2343">
        <f ca="1">IF(F22&lt;B2,"已过期",2000110137)</f>
        <v>2000110137</v>
      </c>
      <c r="F22" s="3007">
        <v>46387</v>
      </c>
    </row>
    <row r="23" spans="1:7" ht="20.25" customHeight="1">
      <c r="A23" s="2343" t="s">
        <v>1924</v>
      </c>
      <c r="B23" s="2343">
        <f ca="1">IF(C23&lt;B2,"已过期",1120130048)</f>
        <v>1120130048</v>
      </c>
      <c r="C23" s="3006">
        <v>43686</v>
      </c>
      <c r="D23" s="2343"/>
      <c r="E23" s="2343"/>
      <c r="F23" s="2343"/>
    </row>
    <row r="24" spans="1:7" s="2347" customFormat="1" ht="20.25" customHeight="1">
      <c r="A24" s="2345" t="s">
        <v>2051</v>
      </c>
      <c r="B24" s="2345" t="s">
        <v>2051</v>
      </c>
      <c r="C24" s="3006"/>
      <c r="D24" s="3008" t="s">
        <v>2051</v>
      </c>
      <c r="E24" s="2345" t="s">
        <v>2051</v>
      </c>
      <c r="F24" s="2346"/>
    </row>
    <row r="25" spans="1:7" ht="20.25" customHeight="1">
      <c r="A25" s="3225" t="s">
        <v>1925</v>
      </c>
      <c r="B25" s="3225"/>
      <c r="C25" s="3225"/>
      <c r="D25" s="3225"/>
      <c r="E25" s="3225"/>
      <c r="F25" s="3225"/>
      <c r="G25" s="3225"/>
    </row>
    <row r="26" spans="1:7" ht="20.25" customHeight="1">
      <c r="A26" s="3226" t="s">
        <v>1926</v>
      </c>
      <c r="B26" s="3226"/>
      <c r="C26" s="3226"/>
      <c r="D26" s="3226" t="s">
        <v>1927</v>
      </c>
      <c r="E26" s="3226"/>
      <c r="F26" s="3226"/>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2935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2" priority="90">
      <formula>AND($C24-TODAY()&lt;30,TODAY()&lt;$C24)</formula>
    </cfRule>
  </conditionalFormatting>
  <conditionalFormatting sqref="C28">
    <cfRule type="expression" dxfId="211" priority="89">
      <formula>AND($C28-TODAY()&lt;30,TODAY()&lt;$C28)</formula>
    </cfRule>
  </conditionalFormatting>
  <conditionalFormatting sqref="C28 F4">
    <cfRule type="cellIs" dxfId="210" priority="91" stopIfTrue="1" operator="lessThan">
      <formula>$B$2</formula>
    </cfRule>
  </conditionalFormatting>
  <conditionalFormatting sqref="F5">
    <cfRule type="cellIs" dxfId="209" priority="87" stopIfTrue="1" operator="lessThan">
      <formula>$B$2</formula>
    </cfRule>
  </conditionalFormatting>
  <conditionalFormatting sqref="F6 F8 F10">
    <cfRule type="cellIs" dxfId="208" priority="85" stopIfTrue="1" operator="lessThan">
      <formula>$B$2</formula>
    </cfRule>
  </conditionalFormatting>
  <conditionalFormatting sqref="C24:D24">
    <cfRule type="expression" dxfId="207" priority="83">
      <formula>AND($C24-TODAY()&lt;30,TODAY()&lt;$C24)</formula>
    </cfRule>
  </conditionalFormatting>
  <conditionalFormatting sqref="F7 F9 F11 C24:D24">
    <cfRule type="cellIs" dxfId="206" priority="84" stopIfTrue="1" operator="lessThan">
      <formula>$B$2</formula>
    </cfRule>
  </conditionalFormatting>
  <conditionalFormatting sqref="F16">
    <cfRule type="cellIs" dxfId="205" priority="57" stopIfTrue="1" operator="lessThan">
      <formula>$B$2</formula>
    </cfRule>
  </conditionalFormatting>
  <conditionalFormatting sqref="F18">
    <cfRule type="cellIs" dxfId="204" priority="56" stopIfTrue="1" operator="lessThan">
      <formula>$B$2</formula>
    </cfRule>
  </conditionalFormatting>
  <conditionalFormatting sqref="F22">
    <cfRule type="cellIs" dxfId="203" priority="55" stopIfTrue="1" operator="lessThan">
      <formula>$B$2</formula>
    </cfRule>
  </conditionalFormatting>
  <conditionalFormatting sqref="F21">
    <cfRule type="cellIs" dxfId="202" priority="54" stopIfTrue="1" operator="lessThan">
      <formula>$B$2</formula>
    </cfRule>
  </conditionalFormatting>
  <conditionalFormatting sqref="F17">
    <cfRule type="cellIs" dxfId="201" priority="53" stopIfTrue="1" operator="lessThan">
      <formula>$B$2</formula>
    </cfRule>
  </conditionalFormatting>
  <conditionalFormatting sqref="B4:B11 E4:E11 E16:E23 B16:B23 B13:B14 E13:E14">
    <cfRule type="cellIs" dxfId="200" priority="52" stopIfTrue="1" operator="equal">
      <formula>"已过期"</formula>
    </cfRule>
  </conditionalFormatting>
  <conditionalFormatting sqref="F28">
    <cfRule type="cellIs" dxfId="199" priority="49" stopIfTrue="1" operator="lessThan">
      <formula>$B$2</formula>
    </cfRule>
  </conditionalFormatting>
  <conditionalFormatting sqref="F29">
    <cfRule type="cellIs" dxfId="198" priority="47" stopIfTrue="1" operator="lessThan">
      <formula>$B$2</formula>
    </cfRule>
  </conditionalFormatting>
  <conditionalFormatting sqref="F28">
    <cfRule type="expression" dxfId="197" priority="93">
      <formula>AND($E28-TODAY()&lt;30,TODAY()&lt;$E28)</formula>
    </cfRule>
  </conditionalFormatting>
  <conditionalFormatting sqref="F29">
    <cfRule type="expression" dxfId="196" priority="94" stopIfTrue="1">
      <formula>AND($E29-TODAY()&lt;30,TODAY()&lt;$E29)</formula>
    </cfRule>
  </conditionalFormatting>
  <conditionalFormatting sqref="C5">
    <cfRule type="expression" dxfId="195" priority="44">
      <formula>AND($C5-TODAY()&lt;30,TODAY()&lt;$C5)</formula>
    </cfRule>
  </conditionalFormatting>
  <conditionalFormatting sqref="C5">
    <cfRule type="cellIs" dxfId="194" priority="45" stopIfTrue="1" operator="lessThan">
      <formula>$B$2</formula>
    </cfRule>
  </conditionalFormatting>
  <conditionalFormatting sqref="C4:C6">
    <cfRule type="expression" dxfId="193" priority="42">
      <formula>AND($C4-TODAY()&lt;30,TODAY()&lt;$C4)</formula>
    </cfRule>
  </conditionalFormatting>
  <conditionalFormatting sqref="C4:C6">
    <cfRule type="cellIs" dxfId="192" priority="43" stopIfTrue="1" operator="lessThan">
      <formula>$B$2</formula>
    </cfRule>
  </conditionalFormatting>
  <conditionalFormatting sqref="C8:C9">
    <cfRule type="expression" dxfId="191" priority="40">
      <formula>AND($C8-TODAY()&lt;30,TODAY()&lt;$C8)</formula>
    </cfRule>
  </conditionalFormatting>
  <conditionalFormatting sqref="C8:C9">
    <cfRule type="cellIs" dxfId="190" priority="41" stopIfTrue="1" operator="lessThan">
      <formula>$B$2</formula>
    </cfRule>
  </conditionalFormatting>
  <conditionalFormatting sqref="B15 E15">
    <cfRule type="cellIs" dxfId="189" priority="28" stopIfTrue="1" operator="equal">
      <formula>"已过期"</formula>
    </cfRule>
  </conditionalFormatting>
  <conditionalFormatting sqref="F15">
    <cfRule type="cellIs" dxfId="188" priority="25" stopIfTrue="1" operator="lessThan">
      <formula>$B$2</formula>
    </cfRule>
  </conditionalFormatting>
  <conditionalFormatting sqref="C7">
    <cfRule type="expression" dxfId="187" priority="23">
      <formula>AND($C7-TODAY()&lt;30,TODAY()&lt;$C7)</formula>
    </cfRule>
  </conditionalFormatting>
  <conditionalFormatting sqref="C7">
    <cfRule type="cellIs" dxfId="186" priority="24" stopIfTrue="1" operator="lessThan">
      <formula>$B$2</formula>
    </cfRule>
  </conditionalFormatting>
  <conditionalFormatting sqref="C10:C11 C13:C21 C23">
    <cfRule type="expression" dxfId="185" priority="21">
      <formula>AND($C10-TODAY()&lt;30,TODAY()&lt;$C10)</formula>
    </cfRule>
  </conditionalFormatting>
  <conditionalFormatting sqref="C10:C11 C13:C21 C23">
    <cfRule type="cellIs" dxfId="184" priority="22" stopIfTrue="1" operator="lessThan">
      <formula>$B$2</formula>
    </cfRule>
  </conditionalFormatting>
  <conditionalFormatting sqref="F13">
    <cfRule type="cellIs" dxfId="183" priority="20" stopIfTrue="1" operator="lessThan">
      <formula>$B$2</formula>
    </cfRule>
  </conditionalFormatting>
  <conditionalFormatting sqref="F12">
    <cfRule type="cellIs" dxfId="182" priority="12" stopIfTrue="1" operator="lessThan">
      <formula>$B$2</formula>
    </cfRule>
  </conditionalFormatting>
  <conditionalFormatting sqref="B12 E12">
    <cfRule type="cellIs" dxfId="181" priority="11" stopIfTrue="1" operator="equal">
      <formula>"已过期"</formula>
    </cfRule>
  </conditionalFormatting>
  <conditionalFormatting sqref="C12">
    <cfRule type="expression" dxfId="180" priority="9">
      <formula>AND($C12-TODAY()&lt;30,TODAY()&lt;$C12)</formula>
    </cfRule>
  </conditionalFormatting>
  <conditionalFormatting sqref="C12">
    <cfRule type="cellIs" dxfId="179" priority="10" stopIfTrue="1" operator="lessThan">
      <formula>$B$2</formula>
    </cfRule>
  </conditionalFormatting>
  <conditionalFormatting sqref="C22">
    <cfRule type="expression" dxfId="178" priority="1">
      <formula>AND($C22-TODAY()&lt;30,TODAY()&lt;$C22)</formula>
    </cfRule>
  </conditionalFormatting>
  <conditionalFormatting sqref="C22">
    <cfRule type="cellIs" dxfId="17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131</v>
      </c>
      <c r="C1" s="1550"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870</v>
      </c>
    </row>
    <row r="2" spans="1:23">
      <c r="A2" s="8" t="s">
        <v>73</v>
      </c>
      <c r="B2" s="8" t="s">
        <v>149</v>
      </c>
      <c r="C2" s="1551" t="s">
        <v>1706</v>
      </c>
      <c r="D2" s="9" t="s">
        <v>74</v>
      </c>
      <c r="E2" s="9" t="s">
        <v>126</v>
      </c>
      <c r="F2" s="9" t="s">
        <v>127</v>
      </c>
      <c r="G2" s="9">
        <v>40</v>
      </c>
      <c r="H2" s="9" t="s">
        <v>128</v>
      </c>
      <c r="I2" s="9" t="s">
        <v>129</v>
      </c>
      <c r="J2" s="9" t="s">
        <v>130</v>
      </c>
      <c r="K2" s="9" t="s">
        <v>75</v>
      </c>
      <c r="L2" s="9" t="s">
        <v>75</v>
      </c>
      <c r="M2" s="9" t="s">
        <v>75</v>
      </c>
      <c r="N2" s="9" t="s">
        <v>75</v>
      </c>
      <c r="O2" s="9" t="s">
        <v>75</v>
      </c>
      <c r="P2" s="1006" t="s">
        <v>876</v>
      </c>
      <c r="Q2" s="9" t="s">
        <v>75</v>
      </c>
      <c r="R2" s="1006" t="s">
        <v>2538</v>
      </c>
      <c r="S2" s="9" t="s">
        <v>75</v>
      </c>
      <c r="T2" s="9" t="s">
        <v>76</v>
      </c>
      <c r="U2" s="9" t="s">
        <v>75</v>
      </c>
      <c r="V2" s="9" t="s">
        <v>77</v>
      </c>
      <c r="W2" s="9" t="s">
        <v>871</v>
      </c>
    </row>
    <row r="3" spans="1:23">
      <c r="A3" s="8" t="s">
        <v>78</v>
      </c>
      <c r="B3" s="10" t="s">
        <v>150</v>
      </c>
      <c r="C3" s="1552" t="s">
        <v>1707</v>
      </c>
      <c r="D3" s="9" t="s">
        <v>79</v>
      </c>
      <c r="E3" s="9" t="s">
        <v>6</v>
      </c>
      <c r="F3" s="9" t="s">
        <v>80</v>
      </c>
      <c r="G3" s="9">
        <v>50</v>
      </c>
      <c r="H3" s="9" t="s">
        <v>81</v>
      </c>
      <c r="I3" s="9" t="s">
        <v>82</v>
      </c>
      <c r="J3" s="9" t="s">
        <v>83</v>
      </c>
      <c r="K3" s="9" t="s">
        <v>84</v>
      </c>
      <c r="L3" s="9" t="s">
        <v>84</v>
      </c>
      <c r="M3" s="9" t="s">
        <v>84</v>
      </c>
      <c r="N3" s="9" t="s">
        <v>84</v>
      </c>
      <c r="O3" s="9" t="s">
        <v>84</v>
      </c>
      <c r="P3" s="1006" t="s">
        <v>596</v>
      </c>
      <c r="Q3" s="9" t="s">
        <v>84</v>
      </c>
      <c r="R3" s="1006" t="s">
        <v>2539</v>
      </c>
      <c r="S3" s="9" t="s">
        <v>84</v>
      </c>
      <c r="T3" s="9" t="s">
        <v>85</v>
      </c>
      <c r="U3" s="9" t="s">
        <v>84</v>
      </c>
      <c r="V3" s="9" t="s">
        <v>86</v>
      </c>
      <c r="W3" s="9" t="s">
        <v>872</v>
      </c>
    </row>
    <row r="4" spans="1:23">
      <c r="A4" s="8" t="s">
        <v>87</v>
      </c>
      <c r="B4" s="8" t="s">
        <v>151</v>
      </c>
      <c r="C4" s="1551" t="s">
        <v>1708</v>
      </c>
      <c r="D4" s="9" t="s">
        <v>1993</v>
      </c>
      <c r="E4" s="9" t="s">
        <v>88</v>
      </c>
      <c r="F4" s="9" t="s">
        <v>89</v>
      </c>
      <c r="G4" s="9">
        <v>70</v>
      </c>
      <c r="H4" s="9" t="s">
        <v>90</v>
      </c>
      <c r="I4" s="9" t="s">
        <v>91</v>
      </c>
      <c r="K4" s="9" t="s">
        <v>92</v>
      </c>
      <c r="L4" s="9" t="s">
        <v>92</v>
      </c>
      <c r="M4" s="9" t="s">
        <v>92</v>
      </c>
      <c r="N4" s="9" t="s">
        <v>92</v>
      </c>
      <c r="O4" s="9" t="s">
        <v>92</v>
      </c>
      <c r="P4" s="1006" t="s">
        <v>756</v>
      </c>
      <c r="Q4" s="9" t="s">
        <v>92</v>
      </c>
      <c r="R4" s="1006" t="s">
        <v>2540</v>
      </c>
      <c r="S4" s="9" t="s">
        <v>92</v>
      </c>
      <c r="T4" s="9" t="s">
        <v>93</v>
      </c>
      <c r="U4" s="9" t="s">
        <v>92</v>
      </c>
      <c r="W4" s="9" t="s">
        <v>873</v>
      </c>
    </row>
    <row r="5" spans="1:23">
      <c r="A5" s="8" t="s">
        <v>94</v>
      </c>
      <c r="B5" s="8" t="s">
        <v>152</v>
      </c>
      <c r="C5" s="1551" t="s">
        <v>1709</v>
      </c>
      <c r="F5" s="9" t="s">
        <v>95</v>
      </c>
      <c r="H5" s="9" t="s">
        <v>70</v>
      </c>
      <c r="I5" s="9" t="s">
        <v>96</v>
      </c>
      <c r="K5" s="9" t="s">
        <v>97</v>
      </c>
      <c r="L5" s="9" t="s">
        <v>97</v>
      </c>
      <c r="M5" s="9" t="s">
        <v>97</v>
      </c>
      <c r="N5" s="9" t="s">
        <v>97</v>
      </c>
      <c r="O5" s="9" t="s">
        <v>97</v>
      </c>
      <c r="P5" s="1006" t="s">
        <v>542</v>
      </c>
      <c r="Q5" s="9" t="s">
        <v>97</v>
      </c>
      <c r="R5" s="1006" t="s">
        <v>2541</v>
      </c>
      <c r="S5" s="9" t="s">
        <v>97</v>
      </c>
      <c r="T5" s="9" t="s">
        <v>98</v>
      </c>
      <c r="U5" s="9" t="s">
        <v>97</v>
      </c>
      <c r="W5" s="9" t="s">
        <v>874</v>
      </c>
    </row>
    <row r="6" spans="1:23">
      <c r="A6" s="8" t="s">
        <v>99</v>
      </c>
      <c r="B6" s="1149" t="s">
        <v>1637</v>
      </c>
      <c r="C6" s="1553" t="s">
        <v>1710</v>
      </c>
      <c r="F6" s="9" t="s">
        <v>71</v>
      </c>
      <c r="H6" s="9" t="s">
        <v>72</v>
      </c>
      <c r="I6" s="9" t="s">
        <v>100</v>
      </c>
      <c r="K6" s="9" t="s">
        <v>101</v>
      </c>
      <c r="L6" s="9" t="s">
        <v>101</v>
      </c>
      <c r="M6" s="9" t="s">
        <v>101</v>
      </c>
      <c r="N6" s="9" t="s">
        <v>101</v>
      </c>
      <c r="O6" s="9" t="s">
        <v>101</v>
      </c>
      <c r="P6" s="1006" t="s">
        <v>877</v>
      </c>
      <c r="Q6" s="9" t="s">
        <v>101</v>
      </c>
      <c r="R6" s="1006" t="s">
        <v>2542</v>
      </c>
      <c r="S6" s="9" t="s">
        <v>101</v>
      </c>
      <c r="T6" s="9"/>
      <c r="U6" s="9" t="s">
        <v>101</v>
      </c>
      <c r="W6" s="9" t="s">
        <v>875</v>
      </c>
    </row>
    <row r="7" spans="1:23">
      <c r="A7" s="8" t="s">
        <v>102</v>
      </c>
      <c r="B7" s="8" t="s">
        <v>103</v>
      </c>
      <c r="C7" s="1551" t="s">
        <v>1711</v>
      </c>
      <c r="F7" s="9" t="s">
        <v>153</v>
      </c>
      <c r="H7" s="9" t="s">
        <v>104</v>
      </c>
      <c r="I7" s="9" t="s">
        <v>105</v>
      </c>
    </row>
    <row r="8" spans="1:23">
      <c r="A8" s="8" t="s">
        <v>106</v>
      </c>
      <c r="B8" s="1149" t="s">
        <v>3129</v>
      </c>
      <c r="C8" s="1551" t="s">
        <v>1712</v>
      </c>
      <c r="F8" s="9" t="s">
        <v>154</v>
      </c>
      <c r="H8" s="9"/>
      <c r="I8" s="9" t="s">
        <v>107</v>
      </c>
    </row>
    <row r="9" spans="1:23">
      <c r="A9" s="8" t="s">
        <v>108</v>
      </c>
      <c r="B9" s="8" t="s">
        <v>155</v>
      </c>
      <c r="C9" s="1551" t="s">
        <v>1713</v>
      </c>
      <c r="F9" s="9" t="s">
        <v>109</v>
      </c>
      <c r="H9" s="9"/>
    </row>
    <row r="10" spans="1:23">
      <c r="A10" s="8" t="s">
        <v>110</v>
      </c>
      <c r="B10" s="8" t="s">
        <v>156</v>
      </c>
      <c r="C10" s="1551" t="s">
        <v>1714</v>
      </c>
      <c r="F10" s="9" t="s">
        <v>6</v>
      </c>
    </row>
    <row r="11" spans="1:23">
      <c r="A11" s="8" t="s">
        <v>111</v>
      </c>
      <c r="B11" s="8" t="s">
        <v>157</v>
      </c>
      <c r="C11" s="1551" t="s">
        <v>1715</v>
      </c>
    </row>
    <row r="12" spans="1:23">
      <c r="A12" s="8" t="s">
        <v>112</v>
      </c>
      <c r="B12" s="8" t="s">
        <v>158</v>
      </c>
      <c r="C12" s="1551" t="s">
        <v>1716</v>
      </c>
    </row>
    <row r="13" spans="1:23">
      <c r="A13" s="8" t="s">
        <v>113</v>
      </c>
      <c r="B13" s="8" t="s">
        <v>159</v>
      </c>
      <c r="C13" s="1551" t="s">
        <v>1717</v>
      </c>
    </row>
    <row r="14" spans="1:23">
      <c r="A14" s="8" t="s">
        <v>114</v>
      </c>
      <c r="B14" s="8" t="s">
        <v>160</v>
      </c>
      <c r="C14" s="1554" t="s">
        <v>1893</v>
      </c>
    </row>
    <row r="15" spans="1:23">
      <c r="A15" s="8" t="s">
        <v>115</v>
      </c>
      <c r="B15" s="8" t="s">
        <v>1678</v>
      </c>
      <c r="C15" s="1554"/>
    </row>
    <row r="16" spans="1:23">
      <c r="A16" s="8" t="s">
        <v>116</v>
      </c>
      <c r="B16" s="8" t="s">
        <v>1679</v>
      </c>
      <c r="C16" s="1554"/>
    </row>
    <row r="17" spans="1:3">
      <c r="A17" s="8" t="s">
        <v>117</v>
      </c>
      <c r="B17" s="8" t="s">
        <v>1680</v>
      </c>
      <c r="C17" s="1554"/>
    </row>
    <row r="18" spans="1:3">
      <c r="A18" s="8" t="s">
        <v>118</v>
      </c>
      <c r="B18" s="3109" t="s">
        <v>2947</v>
      </c>
      <c r="C18" s="1554"/>
    </row>
    <row r="19" spans="1:3">
      <c r="A19" s="8" t="s">
        <v>119</v>
      </c>
      <c r="B19" s="3109" t="s">
        <v>2955</v>
      </c>
      <c r="C19" s="1554"/>
    </row>
    <row r="20" spans="1:3">
      <c r="A20" s="8" t="s">
        <v>120</v>
      </c>
      <c r="B20" s="8" t="s">
        <v>3174</v>
      </c>
      <c r="C20" s="1554"/>
    </row>
    <row r="21" spans="1:3">
      <c r="A21" s="8" t="s">
        <v>121</v>
      </c>
      <c r="B21" s="8" t="s">
        <v>1638</v>
      </c>
      <c r="C21" s="1554"/>
    </row>
    <row r="22" spans="1:3">
      <c r="A22" s="8" t="s">
        <v>122</v>
      </c>
      <c r="B22" s="8" t="s">
        <v>1638</v>
      </c>
      <c r="C22" s="1554"/>
    </row>
    <row r="23" spans="1:3">
      <c r="A23" s="8" t="s">
        <v>123</v>
      </c>
      <c r="B23" s="8" t="s">
        <v>1638</v>
      </c>
      <c r="C23" s="1554"/>
    </row>
    <row r="24" spans="1:3">
      <c r="A24" s="8" t="s">
        <v>12</v>
      </c>
      <c r="B24" s="8" t="s">
        <v>1638</v>
      </c>
      <c r="C24" s="1554"/>
    </row>
    <row r="25" spans="1:3">
      <c r="A25" s="8" t="s">
        <v>124</v>
      </c>
      <c r="B25" s="8" t="s">
        <v>1638</v>
      </c>
      <c r="C25" s="1554"/>
    </row>
    <row r="26" spans="1:3">
      <c r="A26" s="8" t="s">
        <v>125</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台湖镇YZ00-0405-0078、0079、0081地块R2二类居住用地出让国有建设用地使用权作为抵押担保物，向交通银行股份有限公司北京芳群园支行办理贷款手续。交通银行股份有限公司北京芳群园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7"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c r="D53" s="1768"/>
      <c r="E53" s="1768"/>
    </row>
    <row r="54" spans="1:5">
      <c r="A54" s="3227"/>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7"/>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7"/>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7"/>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Sheet1</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2018-12-11T03:12:42Z</cp:lastPrinted>
  <dcterms:created xsi:type="dcterms:W3CDTF">2015-07-13T07:17:23Z</dcterms:created>
  <dcterms:modified xsi:type="dcterms:W3CDTF">2018-12-23T12:21:45Z</dcterms:modified>
</cp:coreProperties>
</file>