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0730" windowHeight="5565" tabRatio="899" firstSheet="18" activeTab="2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面积表" sheetId="80" state="hidden" r:id="rId13"/>
    <sheet name="清单" sheetId="85" state="hidden" r:id="rId14"/>
    <sheet name="Sheet2" sheetId="86" state="hidden" r:id="rId15"/>
    <sheet name="最新抵押物清单" sheetId="87" r:id="rId16"/>
    <sheet name="数据-基础表" sheetId="3" r:id="rId17"/>
    <sheet name="数据-汇总表" sheetId="6" r:id="rId18"/>
    <sheet name="数据-取费表" sheetId="1" r:id="rId19"/>
    <sheet name="估价对象房地状况" sheetId="20" r:id="rId20"/>
    <sheet name="系统读取表" sheetId="74" r:id="rId21"/>
    <sheet name="结果表" sheetId="9" r:id="rId22"/>
    <sheet name="成本法" sheetId="68" r:id="rId23"/>
    <sheet name="成本法 (元)" sheetId="69" state="hidden" r:id="rId24"/>
    <sheet name="假设开发法" sheetId="12" state="hidden" r:id="rId25"/>
    <sheet name="基准地价修正" sheetId="43" r:id="rId26"/>
    <sheet name="收益法" sheetId="15" r:id="rId27"/>
    <sheet name="收益法 (元)" sheetId="67" state="hidden" r:id="rId28"/>
    <sheet name="收益法-酒店模型" sheetId="77" state="hidden" r:id="rId29"/>
    <sheet name="收益法(商业)" sheetId="81" state="hidden" r:id="rId30"/>
    <sheet name="收益法（汇总）" sheetId="70" state="hidden" r:id="rId31"/>
    <sheet name="比较法-住宅" sheetId="21" state="hidden" r:id="rId32"/>
    <sheet name="结果表(划拨)" sheetId="91" r:id="rId33"/>
    <sheet name="成本法(划拨)" sheetId="89" r:id="rId34"/>
    <sheet name="收益法(划拨)" sheetId="88" r:id="rId35"/>
    <sheet name="基准地价修正(划拨)" sheetId="90" r:id="rId36"/>
    <sheet name="结果表(办公)" sheetId="82" state="hidden" r:id="rId37"/>
    <sheet name="结果表(商业)" sheetId="83" state="hidden" r:id="rId38"/>
    <sheet name="比较法-办公" sheetId="34" r:id="rId39"/>
    <sheet name="比较法-工业" sheetId="37" state="hidden" r:id="rId40"/>
    <sheet name="比较法-车位" sheetId="35" state="hidden" r:id="rId41"/>
    <sheet name="比较法-仓储" sheetId="36" state="hidden" r:id="rId42"/>
    <sheet name="土地比较法-住宅、综合" sheetId="39" state="hidden" r:id="rId43"/>
    <sheet name="土地比较法-工业" sheetId="40" state="hidden" r:id="rId44"/>
    <sheet name="基准地价（汇总）" sheetId="76" state="hidden" r:id="rId45"/>
    <sheet name="比较法-商业" sheetId="33" state="hidden" r:id="rId46"/>
    <sheet name="典型户型修正" sheetId="31" state="hidden" r:id="rId47"/>
    <sheet name="修正" sheetId="45" state="hidden" r:id="rId48"/>
    <sheet name="容积率修正" sheetId="46" state="hidden" r:id="rId49"/>
    <sheet name="成本法（废）" sheetId="11" state="hidden" r:id="rId50"/>
    <sheet name="区片价" sheetId="44" state="hidden" r:id="rId51"/>
    <sheet name="因素修正幅度" sheetId="65" state="hidden" r:id="rId52"/>
    <sheet name="区片价（范围）" sheetId="75" state="hidden" r:id="rId53"/>
    <sheet name="地价-分区" sheetId="79" state="hidden" r:id="rId54"/>
    <sheet name="地价" sheetId="71" state="hidden" r:id="rId55"/>
    <sheet name="存贷款利率" sheetId="73" state="hidden" r:id="rId56"/>
    <sheet name="Sheet1" sheetId="84" r:id="rId57"/>
  </sheets>
  <externalReferences>
    <externalReference r:id="rId58"/>
    <externalReference r:id="rId59"/>
  </externalReferences>
  <definedNames>
    <definedName name="_xlnm._FilterDatabase" localSheetId="38" hidden="1">'比较法-办公'!$A$1:$L$50</definedName>
    <definedName name="_xlnm._FilterDatabase" localSheetId="41" hidden="1">'比较法-仓储'!$A$1:$L$37</definedName>
    <definedName name="_xlnm._FilterDatabase" localSheetId="40" hidden="1">'比较法-车位'!$A$1:$L$39</definedName>
    <definedName name="_xlnm._FilterDatabase" localSheetId="39" hidden="1">'比较法-工业'!$A$1:$L$43</definedName>
    <definedName name="_xlnm._FilterDatabase" localSheetId="45" hidden="1">'比较法-商业'!$A$1:$L$49</definedName>
    <definedName name="_xlnm._FilterDatabase" localSheetId="31" hidden="1">'比较法-住宅'!$A$1:$L$49</definedName>
    <definedName name="_xlnm._FilterDatabase" localSheetId="13" hidden="1">清单!$E$1:$H$27</definedName>
    <definedName name="_xlnm._FilterDatabase" localSheetId="16" hidden="1">'数据-基础表'!$A$12:$AT$587</definedName>
    <definedName name="_xlnm._FilterDatabase" localSheetId="43" hidden="1">'土地比较法-工业'!$A$1:$L$43</definedName>
    <definedName name="_xlnm._FilterDatabase" localSheetId="42" hidden="1">'土地比较法-住宅、综合'!$A$1:$L$48</definedName>
    <definedName name="_xlnm._FilterDatabase" localSheetId="11" hidden="1">项目基本情况!$A$42:$N$42</definedName>
    <definedName name="_xlnm.Print_Area" localSheetId="38">'比较法-办公'!$A$1:$K$55,'比较法-办公'!$A$58:$M$132</definedName>
    <definedName name="_xlnm.Print_Area" localSheetId="41">'比较法-仓储'!$A$1:$K$42,'比较法-仓储'!$A$45:$M$96</definedName>
    <definedName name="_xlnm.Print_Area" localSheetId="40">'比较法-车位'!$A$1:$K$44,'比较法-车位'!$A$47:$M$102</definedName>
    <definedName name="_xlnm.Print_Area" localSheetId="39">'比较法-工业'!$A$1:$K$48,'比较法-工业'!$A$51:$M$113</definedName>
    <definedName name="_xlnm.Print_Area" localSheetId="45">'比较法-商业'!$A$1:$K$54,'比较法-商业'!$A$57:$M$131</definedName>
    <definedName name="_xlnm.Print_Area" localSheetId="31">'比较法-住宅'!$A$1:$K$54,'比较法-住宅'!$A$57:$M$131</definedName>
    <definedName name="_xlnm.Print_Area" localSheetId="22">成本法!$A$1:$G$57</definedName>
    <definedName name="_xlnm.Print_Area" localSheetId="23">'成本法 (元)'!$A$1:$G$57</definedName>
    <definedName name="_xlnm.Print_Area" localSheetId="33">'成本法(划拨)'!$A$1:$G$57</definedName>
    <definedName name="_xlnm.Print_Area" localSheetId="19">估价对象房地状况!$A$1:$G$24</definedName>
    <definedName name="_xlnm.Print_Area" localSheetId="8">估价师及机构信息!$A$1:$G$22</definedName>
    <definedName name="_xlnm.Print_Area" localSheetId="44">'基准地价（汇总）'!$A$1:$E$13</definedName>
    <definedName name="_xlnm.Print_Area" localSheetId="25">基准地价修正!$A$1:$J$44,基准地价修正!$A$47:$H$101,基准地价修正!$R$1:$V$16</definedName>
    <definedName name="_xlnm.Print_Area" localSheetId="35">'基准地价修正(划拨)'!$A$1:$J$44,'基准地价修正(划拨)'!$A$47:$H$101,'基准地价修正(划拨)'!$R$1:$V$16</definedName>
    <definedName name="_xlnm.Print_Area" localSheetId="24">假设开发法!$A$1:$K$32</definedName>
    <definedName name="_xlnm.Print_Area" localSheetId="21">结果表!$A$1:$I$127</definedName>
    <definedName name="_xlnm.Print_Area" localSheetId="36">'结果表(办公)'!$A$1:$I$127</definedName>
    <definedName name="_xlnm.Print_Area" localSheetId="32">'结果表(划拨)'!$A$1:$I$127</definedName>
    <definedName name="_xlnm.Print_Area" localSheetId="37">'结果表(商业)'!$A$1:$I$127</definedName>
    <definedName name="_xlnm.Print_Area" localSheetId="26">收益法!$A$1:$F$43,收益法!$H$3:$M$29,收益法!$A$46:$F$71,收益法!$I$46:$N$65</definedName>
    <definedName name="_xlnm.Print_Area" localSheetId="27">'收益法 (元)'!$A$1:$F$43,'收益法 (元)'!$H$3:$M$29,'收益法 (元)'!$A$45:$F$71,'收益法 (元)'!$I$46:$N$65</definedName>
    <definedName name="_xlnm.Print_Area" localSheetId="34">'收益法(划拨)'!$A$1:$F$43,'收益法(划拨)'!$H$3:$M$29,'收益法(划拨)'!$A$46:$F$71,'收益法(划拨)'!$I$46:$N$65</definedName>
    <definedName name="_xlnm.Print_Area" localSheetId="30">'收益法（汇总）'!$A$1:$F$13</definedName>
    <definedName name="_xlnm.Print_Area" localSheetId="29">'收益法(商业)'!$A$1:$F$43,'收益法(商业)'!$H$3:$M$29,'收益法(商业)'!$A$46:$F$71,'收益法(商业)'!$I$46:$N$65</definedName>
    <definedName name="_xlnm.Print_Area" localSheetId="17">'数据-汇总表'!$A$1:$P$32</definedName>
    <definedName name="_xlnm.Print_Area" localSheetId="43">'土地比较法-工业'!$A$1:$K$61,'土地比较法-工业'!$A$64:$M$121</definedName>
    <definedName name="_xlnm.Print_Area" localSheetId="42">'土地比较法-住宅、综合'!$A$1:$K$65,'土地比较法-住宅、综合'!$A$68:$M$131</definedName>
    <definedName name="_xlnm.Print_Area" localSheetId="20">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35">'基准地价修正(划拨)'!$Q$19:$AD$19</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K13" i="3" l="1"/>
  <c r="I13" i="3"/>
  <c r="L52" i="88"/>
  <c r="G3" i="90"/>
  <c r="E26" i="90"/>
  <c r="G26" i="90"/>
  <c r="F26" i="90"/>
  <c r="D26" i="90"/>
  <c r="C25" i="90"/>
  <c r="C33" i="90"/>
  <c r="F20" i="6"/>
  <c r="D33" i="90"/>
  <c r="E33" i="90"/>
  <c r="C30" i="90"/>
  <c r="B2" i="90"/>
  <c r="L50" i="88"/>
  <c r="F7" i="1"/>
  <c r="L48" i="88"/>
  <c r="F6" i="88"/>
  <c r="F8" i="88"/>
  <c r="E20" i="6"/>
  <c r="K7" i="1"/>
  <c r="F7" i="88"/>
  <c r="F9" i="88"/>
  <c r="C6" i="88"/>
  <c r="F4" i="73"/>
  <c r="I1" i="73"/>
  <c r="B39" i="1"/>
  <c r="F11" i="88"/>
  <c r="C10" i="88"/>
  <c r="C5" i="88"/>
  <c r="C32" i="88"/>
  <c r="C33" i="88"/>
  <c r="BB13" i="3"/>
  <c r="BC13" i="3"/>
  <c r="BA13" i="3"/>
  <c r="AZ13" i="3"/>
  <c r="AZ5" i="3"/>
  <c r="H13" i="3"/>
  <c r="G13" i="3"/>
  <c r="G5" i="3"/>
  <c r="B3" i="3"/>
  <c r="AY6" i="3"/>
  <c r="D3" i="6"/>
  <c r="E3" i="6"/>
  <c r="D20" i="6"/>
  <c r="F19" i="6"/>
  <c r="E19" i="6"/>
  <c r="BA5" i="3"/>
  <c r="E27" i="6"/>
  <c r="K20" i="6"/>
  <c r="L20" i="6"/>
  <c r="M20" i="6"/>
  <c r="I20" i="6"/>
  <c r="H20" i="6"/>
  <c r="R20" i="6"/>
  <c r="R7" i="1"/>
  <c r="F35" i="88"/>
  <c r="C34" i="88"/>
  <c r="C31" i="88"/>
  <c r="M7" i="1"/>
  <c r="S7" i="1"/>
  <c r="T7" i="1"/>
  <c r="C14" i="88"/>
  <c r="C15" i="88"/>
  <c r="F16" i="88"/>
  <c r="C16" i="88"/>
  <c r="F43" i="88"/>
  <c r="C17" i="88"/>
  <c r="C18" i="88"/>
  <c r="C19" i="88"/>
  <c r="C20" i="88"/>
  <c r="D5" i="73"/>
  <c r="G1" i="73"/>
  <c r="B40" i="1"/>
  <c r="F24" i="88"/>
  <c r="C23" i="88"/>
  <c r="F26" i="88"/>
  <c r="C26" i="88"/>
  <c r="C24" i="88"/>
  <c r="C27" i="88"/>
  <c r="C29" i="88"/>
  <c r="F36" i="88"/>
  <c r="C36" i="88"/>
  <c r="F13" i="88"/>
  <c r="C13" i="88"/>
  <c r="F37" i="88"/>
  <c r="C37" i="88"/>
  <c r="F38" i="88"/>
  <c r="C38" i="88"/>
  <c r="C30" i="88"/>
  <c r="C39" i="88"/>
  <c r="C76" i="88"/>
  <c r="J51" i="88"/>
  <c r="L51" i="88"/>
  <c r="L57" i="88"/>
  <c r="D7" i="1"/>
  <c r="L47" i="88"/>
  <c r="L58" i="88"/>
  <c r="L59" i="88"/>
  <c r="L60" i="88"/>
  <c r="J57" i="88"/>
  <c r="J55" i="88"/>
  <c r="J58" i="88"/>
  <c r="J59" i="88"/>
  <c r="J53" i="88"/>
  <c r="J60" i="88"/>
  <c r="L46" i="88"/>
  <c r="D9" i="89"/>
  <c r="C9" i="89"/>
  <c r="D10" i="89"/>
  <c r="C10" i="89"/>
  <c r="C8" i="89"/>
  <c r="C6" i="89"/>
  <c r="C7" i="89"/>
  <c r="C5" i="89"/>
  <c r="C20" i="89"/>
  <c r="F22" i="89"/>
  <c r="C23" i="89"/>
  <c r="C24" i="89"/>
  <c r="C25" i="89"/>
  <c r="C22" i="89"/>
  <c r="F27" i="89"/>
  <c r="C28" i="89"/>
  <c r="C27" i="89"/>
  <c r="C26" i="89"/>
  <c r="D22" i="89"/>
  <c r="C29" i="89"/>
  <c r="D27" i="89"/>
  <c r="C31" i="89"/>
  <c r="F34" i="89"/>
  <c r="C34" i="89"/>
  <c r="C35" i="89"/>
  <c r="C36" i="89"/>
  <c r="D19" i="89"/>
  <c r="D37" i="89"/>
  <c r="C37" i="89"/>
  <c r="C38" i="89"/>
  <c r="C33" i="89"/>
  <c r="C39" i="89"/>
  <c r="C42" i="89"/>
  <c r="C43" i="89"/>
  <c r="C41" i="89"/>
  <c r="C46" i="89"/>
  <c r="C45" i="89"/>
  <c r="C44" i="89"/>
  <c r="D41" i="89"/>
  <c r="C47" i="89"/>
  <c r="D45" i="89"/>
  <c r="C49" i="89"/>
  <c r="K6" i="1"/>
  <c r="M6" i="1"/>
  <c r="K8" i="1"/>
  <c r="M8" i="1"/>
  <c r="K9" i="1"/>
  <c r="M9" i="1"/>
  <c r="K10" i="1"/>
  <c r="M10" i="1"/>
  <c r="K11" i="1"/>
  <c r="M11" i="1"/>
  <c r="K12" i="1"/>
  <c r="M12" i="1"/>
  <c r="K13" i="1"/>
  <c r="M13" i="1"/>
  <c r="K14" i="1"/>
  <c r="M14" i="1"/>
  <c r="M16" i="1"/>
  <c r="N16" i="1"/>
  <c r="F50" i="89"/>
  <c r="C51" i="89"/>
  <c r="C52" i="89"/>
  <c r="B2" i="89"/>
  <c r="C19" i="91"/>
  <c r="F42" i="88"/>
  <c r="F40" i="88"/>
  <c r="F41" i="88"/>
  <c r="C40" i="88"/>
  <c r="M6" i="88"/>
  <c r="M8" i="88"/>
  <c r="M7" i="88"/>
  <c r="M9" i="88"/>
  <c r="J6" i="88"/>
  <c r="M11" i="88"/>
  <c r="J10" i="88"/>
  <c r="J5" i="88"/>
  <c r="J26" i="88"/>
  <c r="J29" i="88"/>
  <c r="J50" i="88"/>
  <c r="B2" i="88"/>
  <c r="D19" i="91"/>
  <c r="G19" i="91"/>
  <c r="B27" i="91"/>
  <c r="B30" i="91"/>
  <c r="C34" i="90"/>
  <c r="C27" i="91"/>
  <c r="D27" i="91"/>
  <c r="D30" i="91"/>
  <c r="C24" i="91"/>
  <c r="C32" i="91"/>
  <c r="H118" i="91"/>
  <c r="D15" i="74"/>
  <c r="V7" i="1"/>
  <c r="AM7" i="1"/>
  <c r="AL7" i="1"/>
  <c r="AK7" i="1"/>
  <c r="F6" i="15"/>
  <c r="F8" i="15"/>
  <c r="F7" i="15"/>
  <c r="F9" i="15"/>
  <c r="C6" i="15"/>
  <c r="F11" i="15"/>
  <c r="C10" i="15"/>
  <c r="C5" i="15"/>
  <c r="C32" i="15"/>
  <c r="C33" i="15"/>
  <c r="D19" i="6"/>
  <c r="K19" i="6"/>
  <c r="L19" i="6"/>
  <c r="M19" i="6"/>
  <c r="I19" i="6"/>
  <c r="H19" i="6"/>
  <c r="R19" i="6"/>
  <c r="R6" i="1"/>
  <c r="F35" i="15"/>
  <c r="C34" i="15"/>
  <c r="C31" i="15"/>
  <c r="S6" i="1"/>
  <c r="T6" i="1"/>
  <c r="C14" i="15"/>
  <c r="C15" i="15"/>
  <c r="F16" i="15"/>
  <c r="C16" i="15"/>
  <c r="F43" i="15"/>
  <c r="C17" i="15"/>
  <c r="C18" i="15"/>
  <c r="C19" i="15"/>
  <c r="C20" i="15"/>
  <c r="B22" i="1"/>
  <c r="E1" i="73"/>
  <c r="K1" i="73"/>
  <c r="F24" i="15"/>
  <c r="F23" i="15"/>
  <c r="C23" i="15"/>
  <c r="F26" i="15"/>
  <c r="C26" i="15"/>
  <c r="C24" i="15"/>
  <c r="C27" i="15"/>
  <c r="C29" i="15"/>
  <c r="F36" i="15"/>
  <c r="C36" i="15"/>
  <c r="F13" i="15"/>
  <c r="C13" i="15"/>
  <c r="F37" i="15"/>
  <c r="C37" i="15"/>
  <c r="F38" i="15"/>
  <c r="C38" i="15"/>
  <c r="C30" i="15"/>
  <c r="C39" i="15"/>
  <c r="H37" i="15"/>
  <c r="C23" i="90"/>
  <c r="C37" i="90"/>
  <c r="E37" i="90"/>
  <c r="C38" i="90"/>
  <c r="E38" i="90"/>
  <c r="C39" i="90"/>
  <c r="E39" i="90"/>
  <c r="C40" i="90"/>
  <c r="E40" i="90"/>
  <c r="C41" i="90"/>
  <c r="E41" i="90"/>
  <c r="C42" i="90"/>
  <c r="E42" i="90"/>
  <c r="B21" i="1"/>
  <c r="B23" i="1"/>
  <c r="B24" i="1"/>
  <c r="L7" i="1"/>
  <c r="F23" i="88"/>
  <c r="C17" i="91"/>
  <c r="D17" i="91"/>
  <c r="C18" i="91"/>
  <c r="D18" i="91"/>
  <c r="G15" i="74"/>
  <c r="M18" i="91"/>
  <c r="B118" i="91"/>
  <c r="B15" i="74"/>
  <c r="D9" i="68"/>
  <c r="C9" i="68"/>
  <c r="D10" i="68"/>
  <c r="C10" i="68"/>
  <c r="C8" i="68"/>
  <c r="C23" i="43"/>
  <c r="G3" i="43"/>
  <c r="E26" i="43"/>
  <c r="G26" i="43"/>
  <c r="F26" i="43"/>
  <c r="D26" i="43"/>
  <c r="C25" i="43"/>
  <c r="N21" i="43"/>
  <c r="G21" i="43"/>
  <c r="C20" i="43"/>
  <c r="C5" i="43"/>
  <c r="E15" i="4"/>
  <c r="F6" i="1"/>
  <c r="I24" i="43"/>
  <c r="C24" i="43"/>
  <c r="C33" i="43"/>
  <c r="D33" i="43"/>
  <c r="E33" i="43"/>
  <c r="D5" i="43"/>
  <c r="C37" i="43"/>
  <c r="E37" i="43"/>
  <c r="C38" i="43"/>
  <c r="E38" i="43"/>
  <c r="C39" i="43"/>
  <c r="E39" i="43"/>
  <c r="C40" i="43"/>
  <c r="E40" i="43"/>
  <c r="C41" i="43"/>
  <c r="E41" i="43"/>
  <c r="C42" i="43"/>
  <c r="E42" i="43"/>
  <c r="C30" i="43"/>
  <c r="B2" i="43"/>
  <c r="C6" i="68"/>
  <c r="C7" i="68"/>
  <c r="C5" i="68"/>
  <c r="C20" i="68"/>
  <c r="F22" i="68"/>
  <c r="C23" i="68"/>
  <c r="C24" i="68"/>
  <c r="C25" i="68"/>
  <c r="C22" i="68"/>
  <c r="F27" i="68"/>
  <c r="C28" i="68"/>
  <c r="C27" i="68"/>
  <c r="C26" i="68"/>
  <c r="D22" i="68"/>
  <c r="C29" i="68"/>
  <c r="D27" i="68"/>
  <c r="C31" i="68"/>
  <c r="F34" i="68"/>
  <c r="C34" i="68"/>
  <c r="C35" i="68"/>
  <c r="C36" i="68"/>
  <c r="D19" i="68"/>
  <c r="D37" i="68"/>
  <c r="C37" i="68"/>
  <c r="C38" i="68"/>
  <c r="C33" i="68"/>
  <c r="C39" i="68"/>
  <c r="C42" i="68"/>
  <c r="C43" i="68"/>
  <c r="C41" i="68"/>
  <c r="C46" i="68"/>
  <c r="C45" i="68"/>
  <c r="C44" i="68"/>
  <c r="D41" i="68"/>
  <c r="C47" i="68"/>
  <c r="D45" i="68"/>
  <c r="C49" i="68"/>
  <c r="F50" i="68"/>
  <c r="C51" i="68"/>
  <c r="C52" i="68"/>
  <c r="B2" i="68"/>
  <c r="C19" i="9"/>
  <c r="F42" i="15"/>
  <c r="F40" i="15"/>
  <c r="L48" i="15"/>
  <c r="J53" i="15"/>
  <c r="F1" i="15"/>
  <c r="AE6" i="1"/>
  <c r="F41" i="15"/>
  <c r="C40" i="15"/>
  <c r="M6" i="15"/>
  <c r="M8" i="15"/>
  <c r="M7" i="15"/>
  <c r="M9" i="15"/>
  <c r="J6" i="15"/>
  <c r="M11" i="15"/>
  <c r="J10" i="15"/>
  <c r="J5" i="15"/>
  <c r="J26" i="15"/>
  <c r="J29" i="15"/>
  <c r="J57" i="15"/>
  <c r="J55" i="15"/>
  <c r="J58" i="15"/>
  <c r="J59" i="15"/>
  <c r="J60" i="15"/>
  <c r="L46" i="15"/>
  <c r="B2" i="15"/>
  <c r="D19" i="9"/>
  <c r="C17" i="9"/>
  <c r="D17" i="9"/>
  <c r="C18" i="9"/>
  <c r="D18" i="9"/>
  <c r="G19" i="9"/>
  <c r="C32" i="9"/>
  <c r="H118" i="9"/>
  <c r="D14" i="74"/>
  <c r="G14" i="74"/>
  <c r="M18" i="9"/>
  <c r="B118" i="9"/>
  <c r="B14" i="74"/>
  <c r="E111" i="91"/>
  <c r="H111" i="91"/>
  <c r="D126" i="91"/>
  <c r="D127" i="91"/>
  <c r="A126" i="91"/>
  <c r="E109" i="91"/>
  <c r="H109" i="91"/>
  <c r="D124" i="91"/>
  <c r="D125" i="91"/>
  <c r="A124" i="91"/>
  <c r="E107" i="91"/>
  <c r="H21" i="43"/>
  <c r="I21" i="43"/>
  <c r="J21" i="43"/>
  <c r="K21" i="43"/>
  <c r="L21" i="43"/>
  <c r="M21" i="43"/>
  <c r="O21" i="43"/>
  <c r="C34" i="43"/>
  <c r="H101" i="91"/>
  <c r="H105" i="91"/>
  <c r="H106" i="91"/>
  <c r="H103" i="91"/>
  <c r="H107" i="91"/>
  <c r="D122" i="91"/>
  <c r="D123" i="91"/>
  <c r="A122" i="91"/>
  <c r="D120" i="91"/>
  <c r="D121" i="91"/>
  <c r="A120" i="91"/>
  <c r="K120" i="91"/>
  <c r="H119" i="91"/>
  <c r="D35" i="91"/>
  <c r="C35" i="91"/>
  <c r="F118" i="91"/>
  <c r="F119" i="91"/>
  <c r="C34" i="91"/>
  <c r="D118" i="91"/>
  <c r="D119" i="91"/>
  <c r="I118" i="91"/>
  <c r="G118" i="91"/>
  <c r="E118" i="91"/>
  <c r="M19" i="91"/>
  <c r="C118" i="91"/>
  <c r="A118" i="91"/>
  <c r="H112" i="91"/>
  <c r="H110" i="91"/>
  <c r="H102" i="91"/>
  <c r="H108" i="91"/>
  <c r="C105" i="91"/>
  <c r="H104" i="91"/>
  <c r="C104" i="91"/>
  <c r="B3" i="15"/>
  <c r="B3" i="88"/>
  <c r="D20" i="91"/>
  <c r="D103" i="91"/>
  <c r="B3" i="68"/>
  <c r="B3" i="89"/>
  <c r="C20" i="91"/>
  <c r="C103" i="91"/>
  <c r="D102" i="91"/>
  <c r="C102" i="91"/>
  <c r="D101" i="91"/>
  <c r="C101" i="91"/>
  <c r="D45" i="91"/>
  <c r="C85" i="91"/>
  <c r="D89" i="91"/>
  <c r="C89" i="91"/>
  <c r="C87" i="91"/>
  <c r="C91" i="91"/>
  <c r="C92" i="91"/>
  <c r="D93" i="91"/>
  <c r="C93" i="91"/>
  <c r="C94" i="91"/>
  <c r="C86" i="91"/>
  <c r="C95" i="91"/>
  <c r="C96" i="91"/>
  <c r="E96" i="91"/>
  <c r="E97" i="91"/>
  <c r="C97" i="91"/>
  <c r="E90" i="91"/>
  <c r="C72" i="91"/>
  <c r="C76" i="91"/>
  <c r="D77" i="91"/>
  <c r="C77" i="91"/>
  <c r="C74" i="91"/>
  <c r="D78" i="91"/>
  <c r="C78" i="91"/>
  <c r="C73" i="91"/>
  <c r="C79" i="91"/>
  <c r="C80" i="91"/>
  <c r="E80" i="91"/>
  <c r="E81" i="91"/>
  <c r="C81" i="91"/>
  <c r="H77" i="91"/>
  <c r="M49" i="91"/>
  <c r="L63" i="91"/>
  <c r="M63" i="91"/>
  <c r="L64" i="91"/>
  <c r="M64" i="91"/>
  <c r="L65" i="91"/>
  <c r="M65" i="91"/>
  <c r="L66" i="91"/>
  <c r="M66" i="91"/>
  <c r="L67" i="91"/>
  <c r="M67" i="91"/>
  <c r="L68" i="91"/>
  <c r="M68" i="91"/>
  <c r="M69" i="91"/>
  <c r="N69" i="91"/>
  <c r="D68" i="91"/>
  <c r="C64" i="91"/>
  <c r="C63" i="91"/>
  <c r="C67" i="91"/>
  <c r="C68" i="91"/>
  <c r="D48" i="91"/>
  <c r="M52" i="91"/>
  <c r="I55" i="91"/>
  <c r="D55" i="91"/>
  <c r="M53" i="91"/>
  <c r="D58" i="91"/>
  <c r="D56" i="91"/>
  <c r="M54" i="91"/>
  <c r="F59" i="91"/>
  <c r="D59" i="91"/>
  <c r="M55" i="91"/>
  <c r="M56" i="91"/>
  <c r="N57" i="91"/>
  <c r="N59" i="91"/>
  <c r="N61" i="91"/>
  <c r="J55" i="91"/>
  <c r="J56" i="91"/>
  <c r="J57" i="91"/>
  <c r="J59" i="91"/>
  <c r="J61" i="91"/>
  <c r="N60" i="91"/>
  <c r="E59" i="91"/>
  <c r="N58" i="91"/>
  <c r="P57" i="91"/>
  <c r="N56" i="91"/>
  <c r="K56" i="91"/>
  <c r="F56" i="91"/>
  <c r="O55" i="91"/>
  <c r="N55" i="91"/>
  <c r="K55" i="91"/>
  <c r="F55" i="91"/>
  <c r="O54" i="91"/>
  <c r="N54" i="91"/>
  <c r="F54" i="91"/>
  <c r="D54" i="91"/>
  <c r="O53" i="91"/>
  <c r="N53" i="91"/>
  <c r="F53" i="91"/>
  <c r="D53" i="91"/>
  <c r="F48" i="91"/>
  <c r="O52" i="91"/>
  <c r="E48" i="91"/>
  <c r="N52" i="91"/>
  <c r="F52" i="91"/>
  <c r="D52" i="91"/>
  <c r="K49" i="91"/>
  <c r="M48" i="91"/>
  <c r="M47" i="91"/>
  <c r="D34" i="91"/>
  <c r="F33" i="91"/>
  <c r="C30" i="91"/>
  <c r="C25" i="91"/>
  <c r="D22" i="91"/>
  <c r="L19" i="91"/>
  <c r="G21" i="91"/>
  <c r="D21" i="91"/>
  <c r="C21" i="91"/>
  <c r="G20" i="91"/>
  <c r="L18" i="91"/>
  <c r="L4" i="91"/>
  <c r="K4" i="91"/>
  <c r="A2" i="91"/>
  <c r="H1" i="91"/>
  <c r="H21" i="90"/>
  <c r="I21" i="90"/>
  <c r="J21" i="90"/>
  <c r="K21" i="90"/>
  <c r="L21" i="90"/>
  <c r="M21" i="90"/>
  <c r="N21" i="90"/>
  <c r="O21" i="90"/>
  <c r="G21" i="90"/>
  <c r="C20" i="90"/>
  <c r="C5" i="90"/>
  <c r="D5" i="90"/>
  <c r="B116" i="90"/>
  <c r="I122" i="90"/>
  <c r="J122" i="90"/>
  <c r="K122" i="90"/>
  <c r="L122" i="90"/>
  <c r="M122" i="90"/>
  <c r="D122" i="90"/>
  <c r="E122" i="90"/>
  <c r="F122" i="90"/>
  <c r="G122" i="90"/>
  <c r="H122" i="90"/>
  <c r="B122" i="90"/>
  <c r="C122" i="90"/>
  <c r="I121" i="90"/>
  <c r="J121" i="90"/>
  <c r="K121" i="90"/>
  <c r="L121" i="90"/>
  <c r="M121" i="90"/>
  <c r="G121" i="90"/>
  <c r="H121" i="90"/>
  <c r="D121" i="90"/>
  <c r="E121" i="90"/>
  <c r="F121" i="90"/>
  <c r="B121" i="90"/>
  <c r="C121" i="90"/>
  <c r="I120" i="90"/>
  <c r="J120" i="90"/>
  <c r="K120" i="90"/>
  <c r="L120" i="90"/>
  <c r="M120" i="90"/>
  <c r="D120" i="90"/>
  <c r="E120" i="90"/>
  <c r="F120" i="90"/>
  <c r="G120" i="90"/>
  <c r="H120" i="90"/>
  <c r="B120" i="90"/>
  <c r="C120" i="90"/>
  <c r="I119" i="90"/>
  <c r="J119" i="90"/>
  <c r="K119" i="90"/>
  <c r="L119" i="90"/>
  <c r="M119" i="90"/>
  <c r="D119" i="90"/>
  <c r="E119" i="90"/>
  <c r="F119" i="90"/>
  <c r="G119" i="90"/>
  <c r="H119" i="90"/>
  <c r="B119" i="90"/>
  <c r="C119" i="90"/>
  <c r="I118" i="90"/>
  <c r="J118" i="90"/>
  <c r="K118" i="90"/>
  <c r="L118" i="90"/>
  <c r="M118" i="90"/>
  <c r="D118" i="90"/>
  <c r="E118" i="90"/>
  <c r="F118" i="90"/>
  <c r="G118" i="90"/>
  <c r="H118" i="90"/>
  <c r="B118" i="90"/>
  <c r="C118" i="90"/>
  <c r="G2" i="90"/>
  <c r="H116" i="90"/>
  <c r="F116" i="90"/>
  <c r="D116" i="90"/>
  <c r="N111" i="90"/>
  <c r="N112" i="90"/>
  <c r="M111" i="90"/>
  <c r="M112" i="90"/>
  <c r="L111" i="90"/>
  <c r="L112" i="90"/>
  <c r="K111" i="90"/>
  <c r="K112" i="90"/>
  <c r="J111" i="90"/>
  <c r="J112" i="90"/>
  <c r="I111" i="90"/>
  <c r="I112" i="90"/>
  <c r="H111" i="90"/>
  <c r="H112" i="90"/>
  <c r="G111" i="90"/>
  <c r="G112" i="90"/>
  <c r="F111" i="90"/>
  <c r="F112" i="90"/>
  <c r="E111" i="90"/>
  <c r="E112" i="90"/>
  <c r="D111" i="90"/>
  <c r="D112" i="90"/>
  <c r="C111" i="90"/>
  <c r="C112" i="90"/>
  <c r="M101" i="90"/>
  <c r="N101" i="90"/>
  <c r="K101" i="90"/>
  <c r="J101" i="90"/>
  <c r="F93" i="90"/>
  <c r="H101" i="90"/>
  <c r="D101" i="90"/>
  <c r="B101" i="90"/>
  <c r="M100" i="90"/>
  <c r="N100" i="90"/>
  <c r="K100" i="90"/>
  <c r="J100" i="90"/>
  <c r="H100" i="90"/>
  <c r="D100" i="90"/>
  <c r="B100" i="90"/>
  <c r="M99" i="90"/>
  <c r="N99" i="90"/>
  <c r="K99" i="90"/>
  <c r="J99" i="90"/>
  <c r="H99" i="90"/>
  <c r="D99" i="90"/>
  <c r="B99" i="90"/>
  <c r="M98" i="90"/>
  <c r="N98" i="90"/>
  <c r="K98" i="90"/>
  <c r="J98" i="90"/>
  <c r="H98" i="90"/>
  <c r="D98" i="90"/>
  <c r="M97" i="90"/>
  <c r="N97" i="90"/>
  <c r="K97" i="90"/>
  <c r="J97" i="90"/>
  <c r="H97" i="90"/>
  <c r="D97" i="90"/>
  <c r="B97" i="90"/>
  <c r="M96" i="90"/>
  <c r="N96" i="90"/>
  <c r="K96" i="90"/>
  <c r="J96" i="90"/>
  <c r="H96" i="90"/>
  <c r="D96" i="90"/>
  <c r="M95" i="90"/>
  <c r="N95" i="90"/>
  <c r="K95" i="90"/>
  <c r="J95" i="90"/>
  <c r="H95" i="90"/>
  <c r="D95" i="90"/>
  <c r="B95" i="90"/>
  <c r="M94" i="90"/>
  <c r="N94" i="90"/>
  <c r="K94" i="90"/>
  <c r="J94" i="90"/>
  <c r="H94" i="90"/>
  <c r="D94" i="90"/>
  <c r="B94" i="90"/>
  <c r="M93" i="90"/>
  <c r="N93" i="90"/>
  <c r="K93" i="90"/>
  <c r="J93" i="90"/>
  <c r="H93" i="90"/>
  <c r="D93" i="90"/>
  <c r="E93" i="90"/>
  <c r="B91" i="90"/>
  <c r="M90" i="90"/>
  <c r="N90" i="90"/>
  <c r="K90" i="90"/>
  <c r="J90" i="90"/>
  <c r="F83" i="90"/>
  <c r="H90" i="90"/>
  <c r="D90" i="90"/>
  <c r="B90" i="90"/>
  <c r="M89" i="90"/>
  <c r="N89" i="90"/>
  <c r="K89" i="90"/>
  <c r="J89" i="90"/>
  <c r="H89" i="90"/>
  <c r="D89" i="90"/>
  <c r="M88" i="90"/>
  <c r="N88" i="90"/>
  <c r="K88" i="90"/>
  <c r="J88" i="90"/>
  <c r="H88" i="90"/>
  <c r="D88" i="90"/>
  <c r="B88" i="90"/>
  <c r="M87" i="90"/>
  <c r="N87" i="90"/>
  <c r="K87" i="90"/>
  <c r="J87" i="90"/>
  <c r="H87" i="90"/>
  <c r="D87" i="90"/>
  <c r="B87" i="90"/>
  <c r="M86" i="90"/>
  <c r="N86" i="90"/>
  <c r="K86" i="90"/>
  <c r="J86" i="90"/>
  <c r="H86" i="90"/>
  <c r="D86" i="90"/>
  <c r="B86" i="90"/>
  <c r="M85" i="90"/>
  <c r="N85" i="90"/>
  <c r="K85" i="90"/>
  <c r="J85" i="90"/>
  <c r="H85" i="90"/>
  <c r="D85" i="90"/>
  <c r="B85" i="90"/>
  <c r="M84" i="90"/>
  <c r="N84" i="90"/>
  <c r="K84" i="90"/>
  <c r="J84" i="90"/>
  <c r="H84" i="90"/>
  <c r="D84" i="90"/>
  <c r="B84" i="90"/>
  <c r="M83" i="90"/>
  <c r="N83" i="90"/>
  <c r="K83" i="90"/>
  <c r="J83" i="90"/>
  <c r="H83" i="90"/>
  <c r="D83" i="90"/>
  <c r="E83" i="90"/>
  <c r="B83" i="90"/>
  <c r="B81" i="90"/>
  <c r="M80" i="90"/>
  <c r="N80" i="90"/>
  <c r="K80" i="90"/>
  <c r="J80" i="90"/>
  <c r="F72" i="90"/>
  <c r="H80" i="90"/>
  <c r="D80" i="90"/>
  <c r="M79" i="90"/>
  <c r="N79" i="90"/>
  <c r="K79" i="90"/>
  <c r="J79" i="90"/>
  <c r="H79" i="90"/>
  <c r="D79" i="90"/>
  <c r="B79" i="90"/>
  <c r="M78" i="90"/>
  <c r="N78" i="90"/>
  <c r="K78" i="90"/>
  <c r="J78" i="90"/>
  <c r="H78" i="90"/>
  <c r="D78" i="90"/>
  <c r="M77" i="90"/>
  <c r="N77" i="90"/>
  <c r="K77" i="90"/>
  <c r="J77" i="90"/>
  <c r="H77" i="90"/>
  <c r="D77" i="90"/>
  <c r="B77" i="90"/>
  <c r="M76" i="90"/>
  <c r="N76" i="90"/>
  <c r="K76" i="90"/>
  <c r="J76" i="90"/>
  <c r="H76" i="90"/>
  <c r="D76" i="90"/>
  <c r="B76" i="90"/>
  <c r="M75" i="90"/>
  <c r="N75" i="90"/>
  <c r="K75" i="90"/>
  <c r="J75" i="90"/>
  <c r="H75" i="90"/>
  <c r="D75" i="90"/>
  <c r="B75" i="90"/>
  <c r="M74" i="90"/>
  <c r="N74" i="90"/>
  <c r="K74" i="90"/>
  <c r="J74" i="90"/>
  <c r="H74" i="90"/>
  <c r="D74" i="90"/>
  <c r="B74" i="90"/>
  <c r="M73" i="90"/>
  <c r="N73" i="90"/>
  <c r="K73" i="90"/>
  <c r="J73" i="90"/>
  <c r="H73" i="90"/>
  <c r="D73" i="90"/>
  <c r="B73" i="90"/>
  <c r="M72" i="90"/>
  <c r="N72" i="90"/>
  <c r="K72" i="90"/>
  <c r="J72" i="90"/>
  <c r="H72" i="90"/>
  <c r="D72" i="90"/>
  <c r="E72" i="90"/>
  <c r="B72" i="90"/>
  <c r="B70" i="90"/>
  <c r="I2" i="90"/>
  <c r="N2" i="90"/>
  <c r="F61" i="90"/>
  <c r="H69" i="90"/>
  <c r="G69" i="90"/>
  <c r="M69" i="90"/>
  <c r="N69" i="90"/>
  <c r="K69" i="90"/>
  <c r="J69" i="90"/>
  <c r="D69" i="90"/>
  <c r="B69" i="90"/>
  <c r="H68" i="90"/>
  <c r="G68" i="90"/>
  <c r="M68" i="90"/>
  <c r="N68" i="90"/>
  <c r="K68" i="90"/>
  <c r="J68" i="90"/>
  <c r="D68" i="90"/>
  <c r="B68" i="90"/>
  <c r="H67" i="90"/>
  <c r="G67" i="90"/>
  <c r="M67" i="90"/>
  <c r="N67" i="90"/>
  <c r="K67" i="90"/>
  <c r="J67" i="90"/>
  <c r="D67" i="90"/>
  <c r="B67" i="90"/>
  <c r="H66" i="90"/>
  <c r="G66" i="90"/>
  <c r="M66" i="90"/>
  <c r="N66" i="90"/>
  <c r="K66" i="90"/>
  <c r="J66" i="90"/>
  <c r="D66" i="90"/>
  <c r="H65" i="90"/>
  <c r="G65" i="90"/>
  <c r="M65" i="90"/>
  <c r="N65" i="90"/>
  <c r="K65" i="90"/>
  <c r="J65" i="90"/>
  <c r="D65" i="90"/>
  <c r="B65" i="90"/>
  <c r="H64" i="90"/>
  <c r="G64" i="90"/>
  <c r="M64" i="90"/>
  <c r="N64" i="90"/>
  <c r="K64" i="90"/>
  <c r="J64" i="90"/>
  <c r="D64" i="90"/>
  <c r="H63" i="90"/>
  <c r="G63" i="90"/>
  <c r="M63" i="90"/>
  <c r="N63" i="90"/>
  <c r="K63" i="90"/>
  <c r="J63" i="90"/>
  <c r="D63" i="90"/>
  <c r="B63" i="90"/>
  <c r="H62" i="90"/>
  <c r="G62" i="90"/>
  <c r="M62" i="90"/>
  <c r="N62" i="90"/>
  <c r="K62" i="90"/>
  <c r="J62" i="90"/>
  <c r="D62" i="90"/>
  <c r="B62" i="90"/>
  <c r="H61" i="90"/>
  <c r="G61" i="90"/>
  <c r="M61" i="90"/>
  <c r="N61" i="90"/>
  <c r="K61" i="90"/>
  <c r="J61" i="90"/>
  <c r="D61" i="90"/>
  <c r="E61" i="90"/>
  <c r="B61" i="90"/>
  <c r="B59" i="90"/>
  <c r="M58" i="90"/>
  <c r="N58" i="90"/>
  <c r="K58" i="90"/>
  <c r="J58" i="90"/>
  <c r="F50" i="90"/>
  <c r="H58" i="90"/>
  <c r="D58" i="90"/>
  <c r="B58" i="90"/>
  <c r="M57" i="90"/>
  <c r="N57" i="90"/>
  <c r="K57" i="90"/>
  <c r="J57" i="90"/>
  <c r="H57" i="90"/>
  <c r="D57" i="90"/>
  <c r="B57" i="90"/>
  <c r="M56" i="90"/>
  <c r="N56" i="90"/>
  <c r="K56" i="90"/>
  <c r="J56" i="90"/>
  <c r="H56" i="90"/>
  <c r="D56" i="90"/>
  <c r="B56" i="90"/>
  <c r="M55" i="90"/>
  <c r="N55" i="90"/>
  <c r="K55" i="90"/>
  <c r="J55" i="90"/>
  <c r="H55" i="90"/>
  <c r="D55" i="90"/>
  <c r="M54" i="90"/>
  <c r="N54" i="90"/>
  <c r="K54" i="90"/>
  <c r="J54" i="90"/>
  <c r="H54" i="90"/>
  <c r="D54" i="90"/>
  <c r="B54" i="90"/>
  <c r="M53" i="90"/>
  <c r="N53" i="90"/>
  <c r="K53" i="90"/>
  <c r="J53" i="90"/>
  <c r="H53" i="90"/>
  <c r="D53" i="90"/>
  <c r="M52" i="90"/>
  <c r="N52" i="90"/>
  <c r="K52" i="90"/>
  <c r="J52" i="90"/>
  <c r="H52" i="90"/>
  <c r="D52" i="90"/>
  <c r="B52" i="90"/>
  <c r="M51" i="90"/>
  <c r="N51" i="90"/>
  <c r="K51" i="90"/>
  <c r="J51" i="90"/>
  <c r="H51" i="90"/>
  <c r="D51" i="90"/>
  <c r="B51" i="90"/>
  <c r="M50" i="90"/>
  <c r="N50" i="90"/>
  <c r="K50" i="90"/>
  <c r="J50" i="90"/>
  <c r="H50" i="90"/>
  <c r="D50" i="90"/>
  <c r="E50" i="90"/>
  <c r="B50" i="90"/>
  <c r="B48" i="90"/>
  <c r="G24" i="90"/>
  <c r="E44" i="90"/>
  <c r="C44" i="90"/>
  <c r="M2" i="90"/>
  <c r="C6" i="90"/>
  <c r="C17" i="90"/>
  <c r="E21" i="90"/>
  <c r="C21" i="90"/>
  <c r="C22" i="90"/>
  <c r="G23" i="90"/>
  <c r="C28" i="90"/>
  <c r="F42" i="90"/>
  <c r="G42" i="90"/>
  <c r="H42" i="90"/>
  <c r="I42" i="90"/>
  <c r="F41" i="90"/>
  <c r="G41" i="90"/>
  <c r="H41" i="90"/>
  <c r="I41" i="90"/>
  <c r="J24" i="90"/>
  <c r="C24" i="90"/>
  <c r="F40" i="90"/>
  <c r="G40" i="90"/>
  <c r="H40" i="90"/>
  <c r="I40" i="90"/>
  <c r="F39" i="90"/>
  <c r="G39" i="90"/>
  <c r="H39" i="90"/>
  <c r="I39" i="90"/>
  <c r="F38" i="90"/>
  <c r="G38" i="90"/>
  <c r="H38" i="90"/>
  <c r="I38" i="90"/>
  <c r="L36" i="90"/>
  <c r="L37" i="90"/>
  <c r="Q37" i="90"/>
  <c r="P37" i="90"/>
  <c r="O37" i="90"/>
  <c r="N37" i="90"/>
  <c r="M37" i="90"/>
  <c r="F37" i="90"/>
  <c r="G37" i="90"/>
  <c r="H37" i="90"/>
  <c r="I37" i="90"/>
  <c r="Q36" i="90"/>
  <c r="P36" i="90"/>
  <c r="O36" i="90"/>
  <c r="N36" i="90"/>
  <c r="M36" i="90"/>
  <c r="E34" i="90"/>
  <c r="E24" i="90"/>
  <c r="Q32" i="90"/>
  <c r="P32" i="90"/>
  <c r="O32" i="90"/>
  <c r="N32" i="90"/>
  <c r="M32" i="90"/>
  <c r="C31" i="90"/>
  <c r="P29" i="90"/>
  <c r="P28" i="90"/>
  <c r="P27" i="90"/>
  <c r="C27" i="90"/>
  <c r="P26" i="90"/>
  <c r="J26" i="90"/>
  <c r="H26" i="90"/>
  <c r="P25" i="90"/>
  <c r="M24" i="90"/>
  <c r="O23" i="90"/>
  <c r="M23" i="90"/>
  <c r="I23" i="90"/>
  <c r="D21" i="90"/>
  <c r="I18" i="90"/>
  <c r="G18" i="90"/>
  <c r="G17" i="90"/>
  <c r="E17" i="90"/>
  <c r="T16" i="90"/>
  <c r="V16" i="90"/>
  <c r="T15" i="90"/>
  <c r="V15" i="90"/>
  <c r="T14" i="90"/>
  <c r="V14" i="90"/>
  <c r="T13" i="90"/>
  <c r="V13" i="90"/>
  <c r="C13" i="90"/>
  <c r="T12" i="90"/>
  <c r="V12" i="90"/>
  <c r="N12" i="90"/>
  <c r="M12" i="90"/>
  <c r="T11" i="90"/>
  <c r="V11" i="90"/>
  <c r="N11" i="90"/>
  <c r="M11" i="90"/>
  <c r="C10" i="90"/>
  <c r="C11" i="90"/>
  <c r="E11" i="90"/>
  <c r="AJ9" i="90"/>
  <c r="AJ10" i="90"/>
  <c r="AI9" i="90"/>
  <c r="AI10" i="90"/>
  <c r="AH9" i="90"/>
  <c r="AH10" i="90"/>
  <c r="AG9" i="90"/>
  <c r="AG10" i="90"/>
  <c r="AF9" i="90"/>
  <c r="AF10" i="90"/>
  <c r="AE9" i="90"/>
  <c r="AE10" i="90"/>
  <c r="AD9" i="90"/>
  <c r="AD10" i="90"/>
  <c r="AC9" i="90"/>
  <c r="AC10" i="90"/>
  <c r="AB9" i="90"/>
  <c r="AB10" i="90"/>
  <c r="AA9" i="90"/>
  <c r="AA10" i="90"/>
  <c r="Z9" i="90"/>
  <c r="Z10" i="90"/>
  <c r="Y10" i="90"/>
  <c r="T10" i="90"/>
  <c r="V10" i="90"/>
  <c r="N10" i="90"/>
  <c r="M10" i="90"/>
  <c r="E10" i="90"/>
  <c r="T9" i="90"/>
  <c r="V9" i="90"/>
  <c r="N9" i="90"/>
  <c r="M9" i="90"/>
  <c r="E9" i="90"/>
  <c r="C9" i="90"/>
  <c r="T8" i="90"/>
  <c r="V8" i="90"/>
  <c r="N8" i="90"/>
  <c r="M8" i="90"/>
  <c r="E8" i="90"/>
  <c r="Z7" i="90"/>
  <c r="X7" i="90"/>
  <c r="T7" i="90"/>
  <c r="V7" i="90"/>
  <c r="N7" i="90"/>
  <c r="M7" i="90"/>
  <c r="C7" i="90"/>
  <c r="S6" i="90"/>
  <c r="T6" i="90"/>
  <c r="V6" i="90"/>
  <c r="N6" i="90"/>
  <c r="M6" i="90"/>
  <c r="S5" i="90"/>
  <c r="T5" i="90"/>
  <c r="V5" i="90"/>
  <c r="N5" i="90"/>
  <c r="M5" i="90"/>
  <c r="S4" i="90"/>
  <c r="T4" i="90"/>
  <c r="V4" i="90"/>
  <c r="N4" i="90"/>
  <c r="M4" i="90"/>
  <c r="S3" i="90"/>
  <c r="T3" i="90"/>
  <c r="V3" i="90"/>
  <c r="N3" i="90"/>
  <c r="M3" i="90"/>
  <c r="D1" i="90"/>
  <c r="B3" i="90"/>
  <c r="S2" i="90"/>
  <c r="T2" i="90"/>
  <c r="V2" i="90"/>
  <c r="N1" i="90"/>
  <c r="M1" i="90"/>
  <c r="G1" i="89"/>
  <c r="F35" i="89"/>
  <c r="E37" i="89"/>
  <c r="F38" i="89"/>
  <c r="F20" i="89"/>
  <c r="F21" i="89"/>
  <c r="C40" i="89"/>
  <c r="F30" i="89"/>
  <c r="C48" i="89"/>
  <c r="F7" i="89"/>
  <c r="E9" i="89"/>
  <c r="E10" i="89"/>
  <c r="C19" i="89"/>
  <c r="C21" i="89"/>
  <c r="C30" i="89"/>
  <c r="C57" i="89"/>
  <c r="C56" i="89"/>
  <c r="F48" i="89"/>
  <c r="F45" i="89"/>
  <c r="G41" i="89"/>
  <c r="F41" i="89"/>
  <c r="F40" i="89"/>
  <c r="F39" i="89"/>
  <c r="F36" i="89"/>
  <c r="G22" i="89"/>
  <c r="E19" i="89"/>
  <c r="E2" i="89"/>
  <c r="G1" i="88"/>
  <c r="F15" i="88"/>
  <c r="F17" i="88"/>
  <c r="F18" i="88"/>
  <c r="F20" i="88"/>
  <c r="F21" i="88"/>
  <c r="F28" i="88"/>
  <c r="C28" i="88"/>
  <c r="F32" i="88"/>
  <c r="F33" i="88"/>
  <c r="F34" i="88"/>
  <c r="L48" i="81"/>
  <c r="J53" i="81"/>
  <c r="F1" i="81"/>
  <c r="F1" i="88"/>
  <c r="C83" i="88"/>
  <c r="C82" i="88"/>
  <c r="C75" i="88"/>
  <c r="C80" i="88"/>
  <c r="C79" i="88"/>
  <c r="Q65" i="88"/>
  <c r="M47" i="88"/>
  <c r="Q66" i="88"/>
  <c r="Q75" i="88"/>
  <c r="Q74" i="88"/>
  <c r="K59" i="88"/>
  <c r="P74" i="88"/>
  <c r="Q73" i="88"/>
  <c r="Q72" i="88"/>
  <c r="Q71" i="88"/>
  <c r="F71" i="88"/>
  <c r="F51" i="88"/>
  <c r="F50" i="88"/>
  <c r="C49" i="88"/>
  <c r="C53" i="88"/>
  <c r="C48" i="88"/>
  <c r="F60" i="88"/>
  <c r="C60" i="88"/>
  <c r="F61" i="88"/>
  <c r="C61" i="88"/>
  <c r="F62" i="88"/>
  <c r="F63" i="88"/>
  <c r="C62" i="88"/>
  <c r="C59" i="88"/>
  <c r="C57" i="88"/>
  <c r="F64" i="88"/>
  <c r="C64" i="88"/>
  <c r="C56" i="88"/>
  <c r="F65" i="88"/>
  <c r="C65" i="88"/>
  <c r="F66" i="88"/>
  <c r="C66" i="88"/>
  <c r="C58" i="88"/>
  <c r="C67" i="88"/>
  <c r="F68" i="88"/>
  <c r="F69" i="88"/>
  <c r="C68" i="88"/>
  <c r="C71" i="88"/>
  <c r="Q70" i="88"/>
  <c r="Q69" i="88"/>
  <c r="Q68" i="88"/>
  <c r="Q67" i="88"/>
  <c r="Q56" i="88"/>
  <c r="Q57" i="88"/>
  <c r="Q62" i="88"/>
  <c r="Q61" i="88"/>
  <c r="P61" i="88"/>
  <c r="Q60" i="88"/>
  <c r="Q59" i="88"/>
  <c r="N59" i="88"/>
  <c r="M59" i="88"/>
  <c r="F59" i="88"/>
  <c r="Q58" i="88"/>
  <c r="L56" i="88"/>
  <c r="I54" i="88"/>
  <c r="Q47" i="88"/>
  <c r="Q48" i="88"/>
  <c r="Q53" i="88"/>
  <c r="Q52" i="88"/>
  <c r="Q51" i="88"/>
  <c r="Q50" i="88"/>
  <c r="Q49" i="88"/>
  <c r="D46" i="88"/>
  <c r="C46" i="88"/>
  <c r="C43" i="88"/>
  <c r="F31" i="88"/>
  <c r="M29" i="88"/>
  <c r="M28" i="88"/>
  <c r="AG7" i="1"/>
  <c r="M27" i="88"/>
  <c r="M26" i="88"/>
  <c r="M18" i="88"/>
  <c r="J18" i="88"/>
  <c r="M19" i="88"/>
  <c r="J19" i="88"/>
  <c r="M20" i="88"/>
  <c r="M21" i="88"/>
  <c r="J20" i="88"/>
  <c r="J17" i="88"/>
  <c r="J14" i="88"/>
  <c r="M22" i="88"/>
  <c r="J22" i="88"/>
  <c r="J15" i="88"/>
  <c r="J13" i="88"/>
  <c r="M23" i="88"/>
  <c r="J23" i="88"/>
  <c r="M24" i="88"/>
  <c r="J24" i="88"/>
  <c r="J16" i="88"/>
  <c r="J25" i="88"/>
  <c r="D24" i="88"/>
  <c r="D23" i="88"/>
  <c r="D22" i="88"/>
  <c r="M17" i="88"/>
  <c r="E12" i="87"/>
  <c r="D3" i="4"/>
  <c r="K4" i="85"/>
  <c r="K5" i="85"/>
  <c r="K6" i="85"/>
  <c r="A6" i="1"/>
  <c r="K8" i="85"/>
  <c r="N8" i="85"/>
  <c r="M9" i="85"/>
  <c r="K9" i="85"/>
  <c r="N9" i="85"/>
  <c r="M10" i="85"/>
  <c r="K10" i="85"/>
  <c r="N10" i="85"/>
  <c r="M11" i="85"/>
  <c r="K11" i="85"/>
  <c r="N11" i="85"/>
  <c r="N12" i="85"/>
  <c r="K12" i="85"/>
  <c r="M12" i="85"/>
  <c r="L5" i="85"/>
  <c r="M5" i="85"/>
  <c r="M4" i="85"/>
  <c r="M6" i="85"/>
  <c r="L6" i="85"/>
  <c r="G27" i="85"/>
  <c r="Q7" i="1"/>
  <c r="I7" i="1"/>
  <c r="B2" i="1"/>
  <c r="G23" i="43"/>
  <c r="C28" i="43"/>
  <c r="D27" i="9"/>
  <c r="D30" i="9"/>
  <c r="C30" i="9"/>
  <c r="B30" i="9"/>
  <c r="A25" i="31"/>
  <c r="A26" i="31"/>
  <c r="A27" i="31"/>
  <c r="A24" i="31"/>
  <c r="B25" i="31"/>
  <c r="B26" i="31"/>
  <c r="B27" i="31"/>
  <c r="B24" i="31"/>
  <c r="I47" i="33"/>
  <c r="G47" i="33"/>
  <c r="I36" i="33"/>
  <c r="G36" i="33"/>
  <c r="E36" i="33"/>
  <c r="C7" i="33"/>
  <c r="I7" i="33"/>
  <c r="G7" i="33"/>
  <c r="E7" i="33"/>
  <c r="A126" i="83"/>
  <c r="A120" i="83"/>
  <c r="M19" i="83"/>
  <c r="C118" i="83"/>
  <c r="A118" i="83"/>
  <c r="H112" i="83"/>
  <c r="H111" i="83"/>
  <c r="D126" i="83"/>
  <c r="D127" i="83"/>
  <c r="E111" i="83"/>
  <c r="E109" i="83"/>
  <c r="A124" i="83"/>
  <c r="E107" i="83"/>
  <c r="A122" i="83"/>
  <c r="H106" i="83"/>
  <c r="H103" i="83"/>
  <c r="D120" i="83"/>
  <c r="H105" i="83"/>
  <c r="H104" i="83"/>
  <c r="D101" i="83"/>
  <c r="C101" i="83"/>
  <c r="D93" i="83"/>
  <c r="C91" i="83"/>
  <c r="E90" i="83"/>
  <c r="D89" i="83"/>
  <c r="C89" i="83"/>
  <c r="C87" i="83"/>
  <c r="C92" i="83"/>
  <c r="D78" i="83"/>
  <c r="H77" i="83"/>
  <c r="D77" i="83"/>
  <c r="C42" i="1"/>
  <c r="C77" i="83"/>
  <c r="C76" i="83"/>
  <c r="C74" i="83"/>
  <c r="D68" i="83"/>
  <c r="F59" i="83"/>
  <c r="O55" i="83"/>
  <c r="E59" i="83"/>
  <c r="N56" i="83"/>
  <c r="M56" i="83"/>
  <c r="K56" i="83"/>
  <c r="J56" i="83"/>
  <c r="J57" i="83"/>
  <c r="J59" i="83"/>
  <c r="J61" i="83"/>
  <c r="F56" i="83"/>
  <c r="O54" i="83"/>
  <c r="N55" i="83"/>
  <c r="K55" i="83"/>
  <c r="J55" i="83"/>
  <c r="I55" i="83"/>
  <c r="F55" i="83"/>
  <c r="O53" i="83"/>
  <c r="N54" i="83"/>
  <c r="F54" i="83"/>
  <c r="N53" i="83"/>
  <c r="F53" i="83"/>
  <c r="F52" i="83"/>
  <c r="K49" i="83"/>
  <c r="F48" i="83"/>
  <c r="O52" i="83"/>
  <c r="E48" i="83"/>
  <c r="N52" i="83"/>
  <c r="D48" i="83"/>
  <c r="M52" i="83"/>
  <c r="M47" i="83"/>
  <c r="F33" i="83"/>
  <c r="D27" i="83"/>
  <c r="C25" i="83"/>
  <c r="C24" i="83"/>
  <c r="L19" i="83"/>
  <c r="M18" i="83"/>
  <c r="B118" i="83"/>
  <c r="L18" i="83"/>
  <c r="D17" i="83"/>
  <c r="C17" i="83"/>
  <c r="C18" i="83"/>
  <c r="D18" i="83"/>
  <c r="L4" i="83"/>
  <c r="K4" i="83"/>
  <c r="A2" i="83"/>
  <c r="H1" i="83"/>
  <c r="A126" i="82"/>
  <c r="A120" i="82"/>
  <c r="A118" i="82"/>
  <c r="H112" i="82"/>
  <c r="H111" i="82"/>
  <c r="D126" i="82"/>
  <c r="D127" i="82"/>
  <c r="E111" i="82"/>
  <c r="E109" i="82"/>
  <c r="A124" i="82"/>
  <c r="E107" i="82"/>
  <c r="A122" i="82"/>
  <c r="H106" i="82"/>
  <c r="H103" i="82"/>
  <c r="D120" i="82"/>
  <c r="H105" i="82"/>
  <c r="H104" i="82"/>
  <c r="D101" i="82"/>
  <c r="C101" i="82"/>
  <c r="D93" i="82"/>
  <c r="C91" i="82"/>
  <c r="E90" i="82"/>
  <c r="D89" i="82"/>
  <c r="C89" i="82"/>
  <c r="C87" i="82"/>
  <c r="C92" i="82"/>
  <c r="D78" i="82"/>
  <c r="H77" i="82"/>
  <c r="D77" i="82"/>
  <c r="C77" i="82"/>
  <c r="C76" i="82"/>
  <c r="C74" i="82"/>
  <c r="D68" i="82"/>
  <c r="F59" i="82"/>
  <c r="O55" i="82"/>
  <c r="E59" i="82"/>
  <c r="N56" i="82"/>
  <c r="M56" i="82"/>
  <c r="K56" i="82"/>
  <c r="J56" i="82"/>
  <c r="J57" i="82"/>
  <c r="J59" i="82"/>
  <c r="J61" i="82"/>
  <c r="F56" i="82"/>
  <c r="O54" i="82"/>
  <c r="N55" i="82"/>
  <c r="K55" i="82"/>
  <c r="J55" i="82"/>
  <c r="I55" i="82"/>
  <c r="F55" i="82"/>
  <c r="O53" i="82"/>
  <c r="N54" i="82"/>
  <c r="F54" i="82"/>
  <c r="N53" i="82"/>
  <c r="F53" i="82"/>
  <c r="F52" i="82"/>
  <c r="K49" i="82"/>
  <c r="F48" i="82"/>
  <c r="O52" i="82"/>
  <c r="E48" i="82"/>
  <c r="N52" i="82"/>
  <c r="D48" i="82"/>
  <c r="M52" i="82"/>
  <c r="M47" i="82"/>
  <c r="F33" i="82"/>
  <c r="D27" i="82"/>
  <c r="C25" i="82"/>
  <c r="C24" i="82"/>
  <c r="M19" i="82"/>
  <c r="C118" i="82"/>
  <c r="L19" i="82"/>
  <c r="M18" i="82"/>
  <c r="B118" i="82"/>
  <c r="L18" i="82"/>
  <c r="D17" i="82"/>
  <c r="C17" i="82"/>
  <c r="C18" i="82"/>
  <c r="D18" i="82"/>
  <c r="L4" i="82"/>
  <c r="K4" i="82"/>
  <c r="A2" i="82"/>
  <c r="H1" i="82"/>
  <c r="N20" i="1"/>
  <c r="N6" i="1"/>
  <c r="N7" i="1"/>
  <c r="Y7" i="1"/>
  <c r="O44" i="80"/>
  <c r="N47" i="80"/>
  <c r="O47" i="80"/>
  <c r="N46" i="80"/>
  <c r="O46" i="80"/>
  <c r="N45" i="80"/>
  <c r="O45" i="80"/>
  <c r="Q72" i="81"/>
  <c r="F60" i="81"/>
  <c r="Q59" i="81"/>
  <c r="K59" i="81"/>
  <c r="P74" i="81"/>
  <c r="F59" i="81"/>
  <c r="Q58" i="81"/>
  <c r="Q51" i="81"/>
  <c r="J50" i="81"/>
  <c r="J51" i="81"/>
  <c r="M47" i="81"/>
  <c r="D46" i="81"/>
  <c r="F34" i="81"/>
  <c r="F62" i="81"/>
  <c r="F33" i="81"/>
  <c r="F61" i="81"/>
  <c r="F32" i="81"/>
  <c r="F31" i="81"/>
  <c r="F28" i="81"/>
  <c r="C28" i="81"/>
  <c r="F23" i="81"/>
  <c r="D23" i="81"/>
  <c r="F21" i="81"/>
  <c r="M20" i="81"/>
  <c r="F20" i="81"/>
  <c r="M19" i="81"/>
  <c r="M18" i="81"/>
  <c r="F18" i="81"/>
  <c r="M17" i="81"/>
  <c r="F17" i="81"/>
  <c r="F15" i="81"/>
  <c r="A7" i="1"/>
  <c r="G1" i="81"/>
  <c r="G62" i="43"/>
  <c r="G63" i="43"/>
  <c r="G64" i="43"/>
  <c r="G65" i="43"/>
  <c r="G66" i="43"/>
  <c r="G67" i="43"/>
  <c r="G68" i="43"/>
  <c r="G69" i="43"/>
  <c r="G61" i="43"/>
  <c r="C7" i="34"/>
  <c r="I7" i="34"/>
  <c r="G7" i="34"/>
  <c r="E7" i="34"/>
  <c r="Y6" i="1"/>
  <c r="N18" i="1"/>
  <c r="J7" i="1"/>
  <c r="H7" i="1"/>
  <c r="L49" i="80"/>
  <c r="L48" i="80"/>
  <c r="L47" i="80"/>
  <c r="L46" i="80"/>
  <c r="L45" i="80"/>
  <c r="L44" i="80"/>
  <c r="Y41" i="80"/>
  <c r="AA39" i="80"/>
  <c r="X39" i="80"/>
  <c r="X41" i="80"/>
  <c r="AA41" i="80"/>
  <c r="W39" i="80"/>
  <c r="W41" i="80"/>
  <c r="U39" i="80"/>
  <c r="Z38" i="80"/>
  <c r="Z37" i="80"/>
  <c r="Z39" i="80"/>
  <c r="Z41" i="80"/>
  <c r="Y37" i="80"/>
  <c r="G37" i="80"/>
  <c r="F37" i="80"/>
  <c r="E37" i="80"/>
  <c r="D37" i="80"/>
  <c r="C37" i="80"/>
  <c r="B37" i="80"/>
  <c r="Y36" i="80"/>
  <c r="AA35" i="80"/>
  <c r="Y35" i="80"/>
  <c r="Y34" i="80"/>
  <c r="Y33" i="80"/>
  <c r="Y32" i="80"/>
  <c r="Y31" i="80"/>
  <c r="AA30" i="80"/>
  <c r="Y30" i="80"/>
  <c r="Y29" i="80"/>
  <c r="Y28" i="80"/>
  <c r="Y27" i="80"/>
  <c r="Y26" i="80"/>
  <c r="Y25" i="80"/>
  <c r="Y24" i="80"/>
  <c r="Y23" i="80"/>
  <c r="Y22" i="80"/>
  <c r="Y21" i="80"/>
  <c r="Y20" i="80"/>
  <c r="AA19" i="80"/>
  <c r="AA18" i="80"/>
  <c r="AA17" i="80"/>
  <c r="AA16" i="80"/>
  <c r="AA15" i="80"/>
  <c r="AA14" i="80"/>
  <c r="Y14" i="80"/>
  <c r="AA13" i="80"/>
  <c r="Y13" i="80"/>
  <c r="AA12" i="80"/>
  <c r="Y12" i="80"/>
  <c r="AA11" i="80"/>
  <c r="Y11" i="80"/>
  <c r="AA10" i="80"/>
  <c r="Y10" i="80"/>
  <c r="AA9" i="80"/>
  <c r="Y9" i="80"/>
  <c r="AA8" i="80"/>
  <c r="Y8" i="80"/>
  <c r="O48" i="80"/>
  <c r="N48" i="80"/>
  <c r="D121" i="83"/>
  <c r="K120" i="83"/>
  <c r="C94" i="83"/>
  <c r="H109" i="83"/>
  <c r="D121" i="82"/>
  <c r="K120" i="82"/>
  <c r="C94" i="82"/>
  <c r="H109" i="82"/>
  <c r="D24" i="81"/>
  <c r="P61" i="81"/>
  <c r="D22" i="81"/>
  <c r="Y38" i="80"/>
  <c r="D15" i="4"/>
  <c r="D124" i="83"/>
  <c r="D125" i="83"/>
  <c r="H110" i="83"/>
  <c r="D124" i="82"/>
  <c r="D125" i="82"/>
  <c r="H110" i="82"/>
  <c r="I7" i="79"/>
  <c r="I29" i="79"/>
  <c r="I28" i="79"/>
  <c r="N28" i="79"/>
  <c r="M28" i="79"/>
  <c r="P28" i="79"/>
  <c r="L28" i="79"/>
  <c r="N29" i="79"/>
  <c r="M29" i="79"/>
  <c r="L29" i="79"/>
  <c r="P6" i="79"/>
  <c r="O6" i="79"/>
  <c r="N6" i="79"/>
  <c r="M6" i="79"/>
  <c r="L6" i="79"/>
  <c r="K6" i="79"/>
  <c r="O7" i="79"/>
  <c r="N7" i="79"/>
  <c r="M7" i="79"/>
  <c r="P7" i="79"/>
  <c r="L7" i="79"/>
  <c r="K7" i="79"/>
  <c r="P29" i="79"/>
  <c r="G14" i="73"/>
  <c r="F14" i="73"/>
  <c r="E14" i="73"/>
  <c r="E8" i="1"/>
  <c r="E9" i="1"/>
  <c r="E10" i="1"/>
  <c r="E11" i="1"/>
  <c r="E12" i="1"/>
  <c r="E13" i="1"/>
  <c r="L30" i="79"/>
  <c r="M30" i="79"/>
  <c r="P30" i="79"/>
  <c r="N30" i="79"/>
  <c r="L31" i="79"/>
  <c r="M31" i="79"/>
  <c r="P31" i="79"/>
  <c r="N31" i="79"/>
  <c r="L32" i="79"/>
  <c r="M32" i="79"/>
  <c r="N32" i="79"/>
  <c r="I30" i="79"/>
  <c r="I31" i="79"/>
  <c r="I32" i="79"/>
  <c r="I8" i="79"/>
  <c r="I9" i="79"/>
  <c r="I10" i="79"/>
  <c r="K8" i="79"/>
  <c r="L8" i="79"/>
  <c r="M8" i="79"/>
  <c r="P8" i="79"/>
  <c r="N8" i="79"/>
  <c r="O8" i="79"/>
  <c r="K9" i="79"/>
  <c r="L9" i="79"/>
  <c r="M9" i="79"/>
  <c r="P9" i="79"/>
  <c r="N9" i="79"/>
  <c r="O9" i="79"/>
  <c r="K10" i="79"/>
  <c r="L10" i="79"/>
  <c r="M10" i="79"/>
  <c r="P10" i="79"/>
  <c r="N10" i="79"/>
  <c r="O10" i="79"/>
  <c r="P32" i="79"/>
  <c r="B10" i="74"/>
  <c r="AH5" i="71"/>
  <c r="AG5" i="71"/>
  <c r="AE5" i="71"/>
  <c r="AF5" i="71"/>
  <c r="AD5" i="71"/>
  <c r="AB5" i="71"/>
  <c r="AA5" i="71"/>
  <c r="Y5" i="71"/>
  <c r="Z5" i="71"/>
  <c r="X5" i="71"/>
  <c r="Q5" i="71"/>
  <c r="P5" i="71"/>
  <c r="O5" i="71"/>
  <c r="N5" i="71"/>
  <c r="AH6" i="71"/>
  <c r="AG6" i="71"/>
  <c r="AE6" i="71"/>
  <c r="AF6" i="71"/>
  <c r="AD6" i="71"/>
  <c r="AB6" i="71"/>
  <c r="AA6" i="71"/>
  <c r="Y6" i="71"/>
  <c r="Z6" i="71"/>
  <c r="X6" i="71"/>
  <c r="Q6" i="71"/>
  <c r="P6" i="71"/>
  <c r="O6" i="71"/>
  <c r="N6" i="71"/>
  <c r="AH7" i="71"/>
  <c r="AG7" i="71"/>
  <c r="AE7" i="71"/>
  <c r="AF7" i="71"/>
  <c r="AD7" i="71"/>
  <c r="AB7" i="71"/>
  <c r="AA7" i="71"/>
  <c r="Y7" i="71"/>
  <c r="Z7" i="71"/>
  <c r="X7" i="71"/>
  <c r="Q7" i="71"/>
  <c r="P7" i="71"/>
  <c r="O7" i="71"/>
  <c r="N7" i="71"/>
  <c r="B2" i="77"/>
  <c r="B3" i="78"/>
  <c r="C7" i="78"/>
  <c r="C6" i="78"/>
  <c r="C5" i="78"/>
  <c r="F13" i="1"/>
  <c r="D13" i="1"/>
  <c r="D12" i="1"/>
  <c r="D11" i="1"/>
  <c r="D10" i="1"/>
  <c r="D9" i="1"/>
  <c r="D8" i="1"/>
  <c r="D6" i="1"/>
  <c r="I2" i="43"/>
  <c r="M1" i="43"/>
  <c r="F116" i="43"/>
  <c r="N111" i="43"/>
  <c r="N112" i="43"/>
  <c r="M111" i="43"/>
  <c r="M112" i="43"/>
  <c r="L111" i="43"/>
  <c r="L112" i="43"/>
  <c r="K111" i="43"/>
  <c r="K112" i="43"/>
  <c r="J111" i="43"/>
  <c r="J112" i="43"/>
  <c r="I111" i="43"/>
  <c r="I112" i="43"/>
  <c r="H111" i="43"/>
  <c r="H112" i="43"/>
  <c r="G111" i="43"/>
  <c r="G112" i="43"/>
  <c r="F111" i="43"/>
  <c r="F112" i="43"/>
  <c r="E111" i="43"/>
  <c r="E112" i="43"/>
  <c r="D111" i="43"/>
  <c r="D112" i="43"/>
  <c r="C111" i="43"/>
  <c r="C112" i="43"/>
  <c r="M101" i="43"/>
  <c r="N101" i="43"/>
  <c r="K101" i="43"/>
  <c r="J101" i="43"/>
  <c r="M100" i="43"/>
  <c r="N100" i="43"/>
  <c r="K100" i="43"/>
  <c r="J100" i="43"/>
  <c r="M99" i="43"/>
  <c r="N99" i="43"/>
  <c r="K99" i="43"/>
  <c r="J99" i="43"/>
  <c r="M98" i="43"/>
  <c r="N98" i="43"/>
  <c r="K98" i="43"/>
  <c r="J98" i="43"/>
  <c r="M97" i="43"/>
  <c r="N97" i="43"/>
  <c r="K97" i="43"/>
  <c r="J97" i="43"/>
  <c r="M96" i="43"/>
  <c r="N96" i="43"/>
  <c r="K96" i="43"/>
  <c r="J96" i="43"/>
  <c r="M95" i="43"/>
  <c r="N95" i="43"/>
  <c r="K95" i="43"/>
  <c r="J95" i="43"/>
  <c r="M94" i="43"/>
  <c r="N94" i="43"/>
  <c r="K94" i="43"/>
  <c r="J94" i="43"/>
  <c r="M93" i="43"/>
  <c r="N93" i="43"/>
  <c r="K93" i="43"/>
  <c r="J93" i="43"/>
  <c r="B101" i="43"/>
  <c r="B100" i="43"/>
  <c r="B99" i="43"/>
  <c r="B97" i="43"/>
  <c r="B95" i="43"/>
  <c r="B94" i="43"/>
  <c r="D101" i="43"/>
  <c r="D100" i="43"/>
  <c r="D99" i="43"/>
  <c r="D98" i="43"/>
  <c r="D97" i="43"/>
  <c r="D96" i="43"/>
  <c r="D95" i="43"/>
  <c r="D94" i="43"/>
  <c r="D93" i="43"/>
  <c r="Y10" i="43"/>
  <c r="AJ9" i="43"/>
  <c r="AJ10" i="43"/>
  <c r="AI9" i="43"/>
  <c r="AI10" i="43"/>
  <c r="AH9" i="43"/>
  <c r="AH10" i="43"/>
  <c r="AG9" i="43"/>
  <c r="AG10" i="43"/>
  <c r="AF9" i="43"/>
  <c r="AF10" i="43"/>
  <c r="AE9" i="43"/>
  <c r="AE10" i="43"/>
  <c r="AD9" i="43"/>
  <c r="AD10" i="43"/>
  <c r="AC9" i="43"/>
  <c r="AC10" i="43"/>
  <c r="AB9" i="43"/>
  <c r="AB10" i="43"/>
  <c r="AA9" i="43"/>
  <c r="AA10" i="43"/>
  <c r="Z9" i="43"/>
  <c r="Z10" i="43"/>
  <c r="M23" i="43"/>
  <c r="G24" i="43"/>
  <c r="I23" i="43"/>
  <c r="G17" i="43"/>
  <c r="C13" i="43"/>
  <c r="N12" i="43"/>
  <c r="G2" i="43"/>
  <c r="AB40" i="79"/>
  <c r="AA40" i="79"/>
  <c r="Z40" i="79"/>
  <c r="W40" i="79"/>
  <c r="N40" i="79"/>
  <c r="M40" i="79"/>
  <c r="P40" i="79"/>
  <c r="L40" i="79"/>
  <c r="I40" i="79"/>
  <c r="AD40" i="79"/>
  <c r="AB39" i="79"/>
  <c r="AA39" i="79"/>
  <c r="Z39" i="79"/>
  <c r="N39" i="79"/>
  <c r="U39" i="79"/>
  <c r="M39" i="79"/>
  <c r="L39" i="79"/>
  <c r="S39" i="79"/>
  <c r="I39" i="79"/>
  <c r="AD39" i="79"/>
  <c r="AB38" i="79"/>
  <c r="AA38" i="79"/>
  <c r="Z38" i="79"/>
  <c r="N38" i="79"/>
  <c r="U38" i="79"/>
  <c r="M38" i="79"/>
  <c r="L38" i="79"/>
  <c r="S38" i="79"/>
  <c r="I38" i="79"/>
  <c r="AD38" i="79"/>
  <c r="AB37" i="79"/>
  <c r="AA37" i="79"/>
  <c r="Z37" i="79"/>
  <c r="N37" i="79"/>
  <c r="U37" i="79"/>
  <c r="M37" i="79"/>
  <c r="L37" i="79"/>
  <c r="S37" i="79"/>
  <c r="I37" i="79"/>
  <c r="AD37" i="79"/>
  <c r="AB36" i="79"/>
  <c r="AA36" i="79"/>
  <c r="Z36" i="79"/>
  <c r="N36" i="79"/>
  <c r="U36" i="79"/>
  <c r="M36" i="79"/>
  <c r="L36" i="79"/>
  <c r="S36" i="79"/>
  <c r="I36" i="79"/>
  <c r="AD36" i="79"/>
  <c r="AB35" i="79"/>
  <c r="AA35" i="79"/>
  <c r="Z35" i="79"/>
  <c r="N35" i="79"/>
  <c r="U35" i="79"/>
  <c r="M35" i="79"/>
  <c r="L35" i="79"/>
  <c r="S35" i="79"/>
  <c r="I35" i="79"/>
  <c r="AD35" i="79"/>
  <c r="AB34" i="79"/>
  <c r="AA34" i="79"/>
  <c r="Z34" i="79"/>
  <c r="N34" i="79"/>
  <c r="U34" i="79"/>
  <c r="M34" i="79"/>
  <c r="T34" i="79"/>
  <c r="L34" i="79"/>
  <c r="I34" i="79"/>
  <c r="AD34" i="79"/>
  <c r="AB33" i="79"/>
  <c r="AA33" i="79"/>
  <c r="Z33" i="79"/>
  <c r="N33" i="79"/>
  <c r="U28" i="79"/>
  <c r="M33" i="79"/>
  <c r="T28" i="79"/>
  <c r="W28" i="79"/>
  <c r="L33" i="79"/>
  <c r="S28" i="79"/>
  <c r="I33" i="79"/>
  <c r="AB27" i="79"/>
  <c r="AA27" i="79"/>
  <c r="Z27" i="79"/>
  <c r="N27" i="79"/>
  <c r="M27" i="79"/>
  <c r="T27" i="79"/>
  <c r="L27" i="79"/>
  <c r="I27" i="79"/>
  <c r="AD27" i="79"/>
  <c r="AA25" i="79"/>
  <c r="AD25" i="79"/>
  <c r="U25" i="79"/>
  <c r="T25" i="79"/>
  <c r="W25" i="79"/>
  <c r="N25" i="79"/>
  <c r="M25" i="79"/>
  <c r="P25" i="79"/>
  <c r="L25" i="79"/>
  <c r="G25" i="79"/>
  <c r="F25" i="79"/>
  <c r="I25" i="79"/>
  <c r="E25" i="79"/>
  <c r="AC18" i="79"/>
  <c r="AB18" i="79"/>
  <c r="AA18" i="79"/>
  <c r="AD18" i="79"/>
  <c r="Z18" i="79"/>
  <c r="Y18" i="79"/>
  <c r="W18" i="79"/>
  <c r="P18" i="79"/>
  <c r="O18" i="79"/>
  <c r="N18" i="79"/>
  <c r="M18" i="79"/>
  <c r="L18" i="79"/>
  <c r="K18" i="79"/>
  <c r="I18" i="79"/>
  <c r="AC17" i="79"/>
  <c r="AB17" i="79"/>
  <c r="AA17" i="79"/>
  <c r="AD17" i="79"/>
  <c r="Z17" i="79"/>
  <c r="Y17" i="79"/>
  <c r="O17" i="79"/>
  <c r="V17" i="79"/>
  <c r="N17" i="79"/>
  <c r="U17" i="79"/>
  <c r="M17" i="79"/>
  <c r="L17" i="79"/>
  <c r="S17" i="79"/>
  <c r="K17" i="79"/>
  <c r="R17" i="79"/>
  <c r="I17" i="79"/>
  <c r="AD16" i="79"/>
  <c r="AC16" i="79"/>
  <c r="AB16" i="79"/>
  <c r="AA16" i="79"/>
  <c r="Z16" i="79"/>
  <c r="Y16" i="79"/>
  <c r="O16" i="79"/>
  <c r="V16" i="79"/>
  <c r="N16" i="79"/>
  <c r="U16" i="79"/>
  <c r="M16" i="79"/>
  <c r="T16" i="79"/>
  <c r="W16" i="79"/>
  <c r="L16" i="79"/>
  <c r="S16" i="79"/>
  <c r="K16" i="79"/>
  <c r="R16" i="79"/>
  <c r="I16" i="79"/>
  <c r="AC15" i="79"/>
  <c r="AB15" i="79"/>
  <c r="AA15" i="79"/>
  <c r="AD15" i="79"/>
  <c r="Z15" i="79"/>
  <c r="Y15" i="79"/>
  <c r="O15" i="79"/>
  <c r="V15" i="79"/>
  <c r="N15" i="79"/>
  <c r="U15" i="79"/>
  <c r="M15" i="79"/>
  <c r="L15" i="79"/>
  <c r="S15" i="79"/>
  <c r="K15" i="79"/>
  <c r="R15" i="79"/>
  <c r="I15" i="79"/>
  <c r="AD14" i="79"/>
  <c r="AC14" i="79"/>
  <c r="AB14" i="79"/>
  <c r="AA14" i="79"/>
  <c r="Z14" i="79"/>
  <c r="Y14" i="79"/>
  <c r="O14" i="79"/>
  <c r="V14" i="79"/>
  <c r="N14" i="79"/>
  <c r="U14" i="79"/>
  <c r="M14" i="79"/>
  <c r="T14" i="79"/>
  <c r="W14" i="79"/>
  <c r="L14" i="79"/>
  <c r="S14" i="79"/>
  <c r="K14" i="79"/>
  <c r="R14" i="79"/>
  <c r="I14" i="79"/>
  <c r="AC13" i="79"/>
  <c r="AB13" i="79"/>
  <c r="AA13" i="79"/>
  <c r="AD13" i="79"/>
  <c r="Z13" i="79"/>
  <c r="Y13" i="79"/>
  <c r="O13" i="79"/>
  <c r="V13" i="79"/>
  <c r="N13" i="79"/>
  <c r="U13" i="79"/>
  <c r="M13" i="79"/>
  <c r="L13" i="79"/>
  <c r="S13" i="79"/>
  <c r="K13" i="79"/>
  <c r="R13" i="79"/>
  <c r="I13" i="79"/>
  <c r="AC12" i="79"/>
  <c r="AB12" i="79"/>
  <c r="AA12" i="79"/>
  <c r="AD12" i="79"/>
  <c r="Z12" i="79"/>
  <c r="Y12" i="79"/>
  <c r="O12" i="79"/>
  <c r="V12" i="79"/>
  <c r="N12" i="79"/>
  <c r="U12" i="79"/>
  <c r="M12" i="79"/>
  <c r="T12" i="79"/>
  <c r="W12" i="79"/>
  <c r="L12" i="79"/>
  <c r="S12" i="79"/>
  <c r="K12" i="79"/>
  <c r="R12" i="79"/>
  <c r="I12" i="79"/>
  <c r="AC11" i="79"/>
  <c r="AB11" i="79"/>
  <c r="AA11" i="79"/>
  <c r="AD11" i="79"/>
  <c r="Z11" i="79"/>
  <c r="Y11" i="79"/>
  <c r="O11" i="79"/>
  <c r="N11" i="79"/>
  <c r="U3" i="79"/>
  <c r="M11" i="79"/>
  <c r="L11" i="79"/>
  <c r="K11" i="79"/>
  <c r="I11" i="79"/>
  <c r="AC5" i="79"/>
  <c r="AC3" i="79"/>
  <c r="AB5" i="79"/>
  <c r="AB3" i="79"/>
  <c r="AA5" i="79"/>
  <c r="AD5" i="79"/>
  <c r="Z5" i="79"/>
  <c r="Z3" i="79"/>
  <c r="Y5" i="79"/>
  <c r="Y3" i="79"/>
  <c r="O5" i="79"/>
  <c r="O3" i="79"/>
  <c r="N5" i="79"/>
  <c r="M5" i="79"/>
  <c r="P5" i="79"/>
  <c r="L5" i="79"/>
  <c r="K5" i="79"/>
  <c r="K3" i="79"/>
  <c r="I5" i="79"/>
  <c r="V3" i="79"/>
  <c r="S3" i="79"/>
  <c r="N3" i="79"/>
  <c r="L3" i="79"/>
  <c r="H3" i="79"/>
  <c r="G3" i="79"/>
  <c r="F3" i="79"/>
  <c r="I3" i="79"/>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c r="K47" i="78"/>
  <c r="K46" i="78"/>
  <c r="K45" i="78"/>
  <c r="K41" i="78"/>
  <c r="K40" i="78"/>
  <c r="K39" i="78"/>
  <c r="K38" i="78"/>
  <c r="K37" i="78"/>
  <c r="K36" i="78"/>
  <c r="K35" i="78"/>
  <c r="K23" i="78"/>
  <c r="K24" i="78"/>
  <c r="K25" i="78"/>
  <c r="K26" i="78"/>
  <c r="K27" i="78"/>
  <c r="K28" i="78"/>
  <c r="K29" i="78"/>
  <c r="K30" i="78"/>
  <c r="K22" i="78"/>
  <c r="S27" i="79"/>
  <c r="M3" i="79"/>
  <c r="P3" i="79"/>
  <c r="T3" i="79"/>
  <c r="W3" i="79"/>
  <c r="U27" i="79"/>
  <c r="AD33" i="79"/>
  <c r="T32" i="79"/>
  <c r="T30" i="79"/>
  <c r="T33" i="79"/>
  <c r="T31" i="79"/>
  <c r="T29" i="79"/>
  <c r="W29" i="79"/>
  <c r="S34" i="79"/>
  <c r="T35" i="79"/>
  <c r="W35" i="79"/>
  <c r="T37" i="79"/>
  <c r="W37" i="79"/>
  <c r="T39" i="79"/>
  <c r="W39" i="79"/>
  <c r="S33" i="79"/>
  <c r="S31" i="79"/>
  <c r="S32" i="79"/>
  <c r="S30" i="79"/>
  <c r="S29" i="79"/>
  <c r="U33" i="79"/>
  <c r="U31" i="79"/>
  <c r="U32" i="79"/>
  <c r="U30" i="79"/>
  <c r="U29" i="79"/>
  <c r="T36" i="79"/>
  <c r="W36" i="79"/>
  <c r="T38" i="79"/>
  <c r="W38" i="79"/>
  <c r="S7" i="79"/>
  <c r="S10" i="79"/>
  <c r="S11" i="79"/>
  <c r="S6" i="79"/>
  <c r="U7" i="79"/>
  <c r="U10" i="79"/>
  <c r="U11" i="79"/>
  <c r="U6" i="79"/>
  <c r="P15" i="79"/>
  <c r="T15" i="79"/>
  <c r="W15" i="79"/>
  <c r="R7" i="79"/>
  <c r="R10" i="79"/>
  <c r="R11" i="79"/>
  <c r="R6" i="79"/>
  <c r="T7" i="79"/>
  <c r="W7" i="79"/>
  <c r="T10" i="79"/>
  <c r="W10" i="79"/>
  <c r="T11" i="79"/>
  <c r="W11" i="79"/>
  <c r="T6" i="79"/>
  <c r="W6" i="79"/>
  <c r="V7" i="79"/>
  <c r="V10" i="79"/>
  <c r="V11" i="79"/>
  <c r="V6" i="79"/>
  <c r="P13" i="79"/>
  <c r="T13" i="79"/>
  <c r="W13" i="79"/>
  <c r="P17" i="79"/>
  <c r="T17" i="79"/>
  <c r="W17" i="79"/>
  <c r="AA3" i="79"/>
  <c r="AD3" i="79"/>
  <c r="W30" i="79"/>
  <c r="W32" i="79"/>
  <c r="W31" i="79"/>
  <c r="W27" i="79"/>
  <c r="AB25" i="79"/>
  <c r="R8" i="79"/>
  <c r="R5" i="79"/>
  <c r="R9" i="79"/>
  <c r="P11" i="79"/>
  <c r="T9" i="79"/>
  <c r="W9" i="79"/>
  <c r="T8" i="79"/>
  <c r="W8" i="79"/>
  <c r="T5" i="79"/>
  <c r="W5" i="79"/>
  <c r="V8" i="79"/>
  <c r="V5" i="79"/>
  <c r="V9" i="79"/>
  <c r="S9" i="79"/>
  <c r="S5" i="79"/>
  <c r="S8" i="79"/>
  <c r="U9" i="79"/>
  <c r="U5" i="79"/>
  <c r="U8" i="79"/>
  <c r="S25" i="79"/>
  <c r="P14" i="79"/>
  <c r="P16" i="79"/>
  <c r="R3" i="79"/>
  <c r="Z25" i="79"/>
  <c r="W34" i="79"/>
  <c r="W33" i="79"/>
  <c r="P12" i="79"/>
  <c r="C27" i="43"/>
  <c r="S6" i="43"/>
  <c r="S5" i="43"/>
  <c r="S4" i="43"/>
  <c r="S2" i="43"/>
  <c r="E93" i="43"/>
  <c r="B91" i="43"/>
  <c r="S3" i="43"/>
  <c r="H116" i="43"/>
  <c r="F37" i="43"/>
  <c r="F38" i="43"/>
  <c r="F39" i="43"/>
  <c r="F40" i="43"/>
  <c r="F41" i="43"/>
  <c r="F42" i="43"/>
  <c r="N1" i="43"/>
  <c r="M2" i="43"/>
  <c r="N2" i="43"/>
  <c r="M3" i="43"/>
  <c r="N3" i="43"/>
  <c r="M4" i="43"/>
  <c r="N4" i="43"/>
  <c r="M5" i="43"/>
  <c r="N5" i="43"/>
  <c r="F93" i="43"/>
  <c r="N10" i="43"/>
  <c r="N11" i="43"/>
  <c r="M6" i="43"/>
  <c r="N6" i="43"/>
  <c r="M7" i="43"/>
  <c r="N7" i="43"/>
  <c r="M8" i="43"/>
  <c r="N8" i="43"/>
  <c r="M9" i="43"/>
  <c r="N9" i="43"/>
  <c r="M10" i="43"/>
  <c r="M11" i="43"/>
  <c r="M12" i="43"/>
  <c r="C21" i="43"/>
  <c r="E21" i="43"/>
  <c r="D21" i="43"/>
  <c r="G18" i="43"/>
  <c r="P27" i="79"/>
  <c r="P34" i="79"/>
  <c r="P36" i="79"/>
  <c r="P38" i="79"/>
  <c r="P33" i="79"/>
  <c r="P35" i="79"/>
  <c r="P37" i="79"/>
  <c r="P39" i="79"/>
  <c r="E25" i="78"/>
  <c r="E24" i="78"/>
  <c r="F23" i="78"/>
  <c r="F24" i="78"/>
  <c r="F25" i="78"/>
  <c r="E23" i="78"/>
  <c r="E22" i="78"/>
  <c r="G22" i="78"/>
  <c r="F12" i="78"/>
  <c r="C15" i="78"/>
  <c r="F11" i="78"/>
  <c r="C18" i="78"/>
  <c r="D7" i="78"/>
  <c r="D6" i="78"/>
  <c r="D5" i="78"/>
  <c r="H100" i="43"/>
  <c r="H97" i="43"/>
  <c r="H95" i="43"/>
  <c r="H94" i="43"/>
  <c r="H98" i="43"/>
  <c r="H93" i="43"/>
  <c r="H101" i="43"/>
  <c r="H99" i="43"/>
  <c r="H96" i="43"/>
  <c r="G23" i="78"/>
  <c r="G24" i="78"/>
  <c r="G25" i="78"/>
  <c r="B15" i="78"/>
  <c r="B18" i="78"/>
  <c r="G16" i="73"/>
  <c r="F16" i="73"/>
  <c r="E16" i="73"/>
  <c r="G17" i="73"/>
  <c r="F17" i="73"/>
  <c r="E17" i="73"/>
  <c r="G18" i="73"/>
  <c r="F18" i="73"/>
  <c r="E18" i="73"/>
  <c r="G13" i="73"/>
  <c r="F13" i="73"/>
  <c r="E13" i="73"/>
  <c r="AH8" i="71"/>
  <c r="AG8" i="71"/>
  <c r="AE8" i="71"/>
  <c r="AF8" i="71"/>
  <c r="AD8" i="71"/>
  <c r="Q8" i="71"/>
  <c r="P8" i="71"/>
  <c r="O8" i="71"/>
  <c r="N8" i="71"/>
  <c r="R43" i="77"/>
  <c r="R40" i="77"/>
  <c r="R41" i="77"/>
  <c r="F36" i="77"/>
  <c r="R34" i="77"/>
  <c r="R33" i="77"/>
  <c r="C30" i="77"/>
  <c r="R27" i="77"/>
  <c r="M24" i="77"/>
  <c r="R23" i="77"/>
  <c r="D23" i="77"/>
  <c r="D38" i="77"/>
  <c r="D39" i="77"/>
  <c r="C23" i="77"/>
  <c r="R22" i="77"/>
  <c r="R21" i="77"/>
  <c r="N19" i="77"/>
  <c r="R18" i="77"/>
  <c r="D18" i="77"/>
  <c r="R17" i="77"/>
  <c r="D17" i="77"/>
  <c r="R16" i="77"/>
  <c r="D16" i="77"/>
  <c r="D15" i="77"/>
  <c r="N14" i="77"/>
  <c r="M14" i="77"/>
  <c r="D14" i="77"/>
  <c r="R13" i="77"/>
  <c r="R12" i="77"/>
  <c r="D12" i="77"/>
  <c r="R11" i="77"/>
  <c r="D11" i="77"/>
  <c r="E11" i="77"/>
  <c r="E7" i="77"/>
  <c r="C27" i="77"/>
  <c r="R10" i="77"/>
  <c r="D10" i="77"/>
  <c r="R9" i="77"/>
  <c r="D9" i="77"/>
  <c r="R8" i="77"/>
  <c r="R7" i="77"/>
  <c r="D7" i="77"/>
  <c r="C26" i="77"/>
  <c r="R4" i="77"/>
  <c r="R3" i="77"/>
  <c r="R14" i="77"/>
  <c r="R24" i="77"/>
  <c r="R25" i="77"/>
  <c r="C32" i="77"/>
  <c r="C38" i="77"/>
  <c r="C39" i="77"/>
  <c r="D29" i="77"/>
  <c r="D32" i="77"/>
  <c r="E23" i="77"/>
  <c r="D26" i="77"/>
  <c r="C29" i="77"/>
  <c r="R35" i="77"/>
  <c r="U34" i="77"/>
  <c r="AH9" i="71"/>
  <c r="AG9" i="71"/>
  <c r="AE9" i="71"/>
  <c r="AF9" i="71"/>
  <c r="AD9" i="71"/>
  <c r="Q9" i="71"/>
  <c r="P9" i="71"/>
  <c r="O9" i="71"/>
  <c r="N9" i="71"/>
  <c r="R19" i="77"/>
  <c r="R5" i="77"/>
  <c r="U5" i="77"/>
  <c r="E26" i="77"/>
  <c r="E38" i="77"/>
  <c r="E39" i="77"/>
  <c r="C40" i="77"/>
  <c r="E29" i="77"/>
  <c r="E32" i="77"/>
  <c r="AH10" i="71"/>
  <c r="AG10" i="71"/>
  <c r="AE10" i="71"/>
  <c r="AF10" i="71"/>
  <c r="AD10" i="71"/>
  <c r="Q10" i="71"/>
  <c r="AB9" i="71"/>
  <c r="P10" i="71"/>
  <c r="AA9" i="71"/>
  <c r="O10" i="71"/>
  <c r="Y9" i="71"/>
  <c r="Z9" i="71"/>
  <c r="N10" i="71"/>
  <c r="X9" i="71"/>
  <c r="B3" i="77"/>
  <c r="C41" i="77"/>
  <c r="V12" i="71"/>
  <c r="U12" i="71"/>
  <c r="T12" i="71"/>
  <c r="S12" i="71"/>
  <c r="E24" i="43"/>
  <c r="Q32" i="43"/>
  <c r="P32" i="43"/>
  <c r="O32" i="43"/>
  <c r="N32" i="43"/>
  <c r="M32" i="43"/>
  <c r="AH11" i="71"/>
  <c r="AG11" i="71"/>
  <c r="AE11" i="71"/>
  <c r="AF11" i="71"/>
  <c r="AD11" i="71"/>
  <c r="Q11" i="71"/>
  <c r="AB10" i="71"/>
  <c r="P11" i="71"/>
  <c r="AA10" i="71"/>
  <c r="O11" i="71"/>
  <c r="Y10" i="71"/>
  <c r="Z10" i="71"/>
  <c r="N11" i="71"/>
  <c r="X10" i="71"/>
  <c r="AH12" i="71"/>
  <c r="AG12" i="71"/>
  <c r="AE12" i="71"/>
  <c r="AF12" i="71"/>
  <c r="AD12" i="71"/>
  <c r="Q12" i="71"/>
  <c r="P12" i="71"/>
  <c r="O12" i="71"/>
  <c r="N12" i="71"/>
  <c r="AH13" i="71"/>
  <c r="AG13" i="71"/>
  <c r="AE13" i="71"/>
  <c r="AF13" i="71"/>
  <c r="AD13" i="71"/>
  <c r="Q13" i="71"/>
  <c r="AB12" i="71"/>
  <c r="P13" i="71"/>
  <c r="AA12" i="71"/>
  <c r="O13" i="71"/>
  <c r="Y12" i="71"/>
  <c r="Z12" i="71"/>
  <c r="N13" i="71"/>
  <c r="X12" i="71"/>
  <c r="AB11" i="71"/>
  <c r="AA11" i="71"/>
  <c r="Y11" i="71"/>
  <c r="Z11" i="71"/>
  <c r="X11" i="71"/>
  <c r="H16" i="49"/>
  <c r="D16" i="49"/>
  <c r="D15" i="49"/>
  <c r="B2" i="49"/>
  <c r="F15" i="49"/>
  <c r="H15" i="49"/>
  <c r="K42" i="40"/>
  <c r="K47" i="39"/>
  <c r="K36" i="36"/>
  <c r="E59" i="9"/>
  <c r="K38" i="35"/>
  <c r="K42" i="37"/>
  <c r="K49" i="34"/>
  <c r="K48" i="33"/>
  <c r="K48" i="21"/>
  <c r="H104" i="9"/>
  <c r="F59" i="9"/>
  <c r="AH14" i="71"/>
  <c r="AG14" i="71"/>
  <c r="AE14" i="71"/>
  <c r="AF14" i="71"/>
  <c r="AD14" i="71"/>
  <c r="Q14" i="71"/>
  <c r="AB13" i="71"/>
  <c r="P14" i="71"/>
  <c r="AA13" i="71"/>
  <c r="O14" i="71"/>
  <c r="Y13" i="71"/>
  <c r="Z13" i="71"/>
  <c r="N14" i="71"/>
  <c r="X13" i="71"/>
  <c r="V16" i="71"/>
  <c r="U16" i="71"/>
  <c r="T16" i="71"/>
  <c r="S16" i="71"/>
  <c r="AH15" i="71"/>
  <c r="AG15" i="71"/>
  <c r="AE15" i="71"/>
  <c r="AF15" i="71"/>
  <c r="AD15" i="71"/>
  <c r="Q15" i="71"/>
  <c r="AB14" i="71"/>
  <c r="P15" i="71"/>
  <c r="AA14" i="71"/>
  <c r="O15" i="71"/>
  <c r="Y14" i="71"/>
  <c r="Z14" i="71"/>
  <c r="N15" i="71"/>
  <c r="X14" i="71"/>
  <c r="AB18" i="71"/>
  <c r="Q17" i="71"/>
  <c r="AB17" i="71"/>
  <c r="P17" i="71"/>
  <c r="AA17" i="71"/>
  <c r="O17" i="71"/>
  <c r="Y17" i="71"/>
  <c r="Z17" i="71"/>
  <c r="N17" i="71"/>
  <c r="X17" i="71"/>
  <c r="AH16" i="71"/>
  <c r="AG16" i="71"/>
  <c r="AE16" i="71"/>
  <c r="AF16" i="71"/>
  <c r="AD16" i="71"/>
  <c r="Q16" i="71"/>
  <c r="AB15" i="71"/>
  <c r="P16" i="71"/>
  <c r="AA15" i="71"/>
  <c r="O16" i="71"/>
  <c r="N16" i="71"/>
  <c r="X15" i="71"/>
  <c r="F17" i="71"/>
  <c r="E17" i="71"/>
  <c r="E16" i="71"/>
  <c r="E15" i="71"/>
  <c r="E14" i="71"/>
  <c r="E13" i="71"/>
  <c r="E12" i="71"/>
  <c r="E11" i="71"/>
  <c r="E10" i="71"/>
  <c r="E9" i="71"/>
  <c r="E8" i="71"/>
  <c r="E7" i="71"/>
  <c r="E6" i="71"/>
  <c r="E5" i="71"/>
  <c r="C17" i="71"/>
  <c r="C16" i="71"/>
  <c r="C15" i="7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c r="K3" i="71"/>
  <c r="AG3" i="71"/>
  <c r="J3" i="71"/>
  <c r="AE3" i="7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c r="K59" i="15"/>
  <c r="P74" i="15"/>
  <c r="D115" i="39"/>
  <c r="E115" i="39"/>
  <c r="F115" i="39"/>
  <c r="G115" i="39"/>
  <c r="H115" i="39"/>
  <c r="I115" i="39"/>
  <c r="J115" i="39"/>
  <c r="K115" i="39"/>
  <c r="L115" i="39"/>
  <c r="M115" i="39"/>
  <c r="C115" i="39"/>
  <c r="A21" i="62"/>
  <c r="B67" i="72"/>
  <c r="A20" i="62"/>
  <c r="A22" i="51"/>
  <c r="A21" i="51"/>
  <c r="A20" i="51"/>
  <c r="A15" i="62"/>
  <c r="A14" i="62"/>
  <c r="A13" i="62"/>
  <c r="B59" i="72"/>
  <c r="A19" i="62"/>
  <c r="A12" i="62"/>
  <c r="B58" i="72"/>
  <c r="A120" i="9"/>
  <c r="H2" i="52"/>
  <c r="A1" i="52"/>
  <c r="A3" i="53"/>
  <c r="Q26" i="71"/>
  <c r="P26" i="71"/>
  <c r="O26" i="71"/>
  <c r="N26" i="71"/>
  <c r="A15" i="51"/>
  <c r="B12" i="72"/>
  <c r="C76" i="9"/>
  <c r="I107" i="40"/>
  <c r="K6" i="4"/>
  <c r="M56" i="9"/>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c r="B74" i="72"/>
  <c r="K49" i="9"/>
  <c r="E107" i="9"/>
  <c r="A122" i="9"/>
  <c r="A8" i="52"/>
  <c r="B54" i="72"/>
  <c r="E111" i="9"/>
  <c r="A126" i="9"/>
  <c r="A12" i="52"/>
  <c r="B56" i="72"/>
  <c r="E109" i="9"/>
  <c r="A124" i="9"/>
  <c r="A10" i="52"/>
  <c r="B55" i="72"/>
  <c r="B44" i="72"/>
  <c r="B42" i="72"/>
  <c r="B69" i="72"/>
  <c r="B68" i="72"/>
  <c r="B63" i="72"/>
  <c r="B62" i="72"/>
  <c r="B16" i="72"/>
  <c r="B65" i="72"/>
  <c r="B60" i="72"/>
  <c r="B66" i="72"/>
  <c r="B10" i="72"/>
  <c r="C53" i="10"/>
  <c r="B51" i="10"/>
  <c r="B19" i="72"/>
  <c r="A18" i="51"/>
  <c r="B13" i="72"/>
  <c r="B49" i="48"/>
  <c r="B5" i="72"/>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c r="D102" i="39"/>
  <c r="E102" i="39"/>
  <c r="F102" i="39"/>
  <c r="G102"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c r="F20" i="69"/>
  <c r="F39" i="69"/>
  <c r="E10" i="69"/>
  <c r="E9" i="69"/>
  <c r="C7" i="69"/>
  <c r="AC21" i="37"/>
  <c r="W21" i="37"/>
  <c r="AC21" i="34"/>
  <c r="W21" i="34"/>
  <c r="AC21" i="33"/>
  <c r="W21" i="33"/>
  <c r="AB21" i="21"/>
  <c r="U21" i="21"/>
  <c r="G83" i="21"/>
  <c r="J21" i="21"/>
  <c r="F38" i="68"/>
  <c r="E37" i="68"/>
  <c r="F36" i="68"/>
  <c r="F35" i="68"/>
  <c r="F21" i="68"/>
  <c r="F40" i="68"/>
  <c r="F20" i="68"/>
  <c r="F39" i="68"/>
  <c r="E10" i="68"/>
  <c r="E9" i="68"/>
  <c r="W21" i="21"/>
  <c r="AC21" i="21"/>
  <c r="Q72" i="67"/>
  <c r="Q59" i="67"/>
  <c r="Q58" i="67"/>
  <c r="Q51" i="67"/>
  <c r="J50" i="67"/>
  <c r="M47" i="67"/>
  <c r="D46" i="67"/>
  <c r="F33" i="67"/>
  <c r="F61" i="67"/>
  <c r="F23" i="67"/>
  <c r="D24" i="67"/>
  <c r="F21" i="67"/>
  <c r="F20" i="67"/>
  <c r="M19" i="67"/>
  <c r="F18" i="67"/>
  <c r="F17" i="67"/>
  <c r="F15" i="67"/>
  <c r="S2" i="4"/>
  <c r="C51" i="10"/>
  <c r="A13" i="51"/>
  <c r="B11" i="72"/>
  <c r="S1" i="4"/>
  <c r="B1" i="4"/>
  <c r="D1" i="43"/>
  <c r="B50" i="43"/>
  <c r="B86" i="43"/>
  <c r="B85" i="43"/>
  <c r="B74" i="43"/>
  <c r="B63" i="43"/>
  <c r="B52" i="43"/>
  <c r="M90" i="43"/>
  <c r="N90" i="43"/>
  <c r="K90" i="43"/>
  <c r="D90" i="43"/>
  <c r="M89" i="43"/>
  <c r="N89" i="43"/>
  <c r="K89" i="43"/>
  <c r="D89" i="43"/>
  <c r="M88" i="43"/>
  <c r="N88" i="43"/>
  <c r="K88" i="43"/>
  <c r="D88" i="43"/>
  <c r="M87" i="43"/>
  <c r="N87" i="43"/>
  <c r="K87" i="43"/>
  <c r="D87" i="43"/>
  <c r="M86" i="43"/>
  <c r="N86" i="43"/>
  <c r="K86" i="43"/>
  <c r="D86" i="43"/>
  <c r="M85" i="43"/>
  <c r="N85" i="43"/>
  <c r="K85" i="43"/>
  <c r="D85" i="43"/>
  <c r="M84" i="43"/>
  <c r="N84" i="43"/>
  <c r="K84" i="43"/>
  <c r="D84" i="43"/>
  <c r="M83" i="43"/>
  <c r="N83" i="43"/>
  <c r="K83" i="43"/>
  <c r="J83" i="43"/>
  <c r="M80" i="43"/>
  <c r="N80" i="43"/>
  <c r="K80" i="43"/>
  <c r="J80" i="43"/>
  <c r="M79" i="43"/>
  <c r="N79" i="43"/>
  <c r="K79" i="43"/>
  <c r="J79" i="43"/>
  <c r="M78" i="43"/>
  <c r="N78" i="43"/>
  <c r="K78" i="43"/>
  <c r="J78" i="43"/>
  <c r="D78" i="43"/>
  <c r="M77" i="43"/>
  <c r="N77" i="43"/>
  <c r="K77" i="43"/>
  <c r="J77" i="43"/>
  <c r="D77" i="43"/>
  <c r="M76" i="43"/>
  <c r="N76" i="43"/>
  <c r="K76" i="43"/>
  <c r="J76" i="43"/>
  <c r="M75" i="43"/>
  <c r="N75" i="43"/>
  <c r="K75" i="43"/>
  <c r="J75" i="43"/>
  <c r="M74" i="43"/>
  <c r="N74" i="43"/>
  <c r="K74" i="43"/>
  <c r="J74" i="43"/>
  <c r="M73" i="43"/>
  <c r="N73" i="43"/>
  <c r="K73" i="43"/>
  <c r="J73" i="43"/>
  <c r="M72" i="43"/>
  <c r="N72" i="43"/>
  <c r="K72" i="43"/>
  <c r="J72" i="43"/>
  <c r="M69" i="43"/>
  <c r="N69" i="43"/>
  <c r="K69" i="43"/>
  <c r="J69" i="43"/>
  <c r="M68" i="43"/>
  <c r="N68" i="43"/>
  <c r="K68" i="43"/>
  <c r="J68" i="43"/>
  <c r="D68"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58" i="43"/>
  <c r="N58" i="43"/>
  <c r="K58" i="43"/>
  <c r="J58" i="43"/>
  <c r="D58" i="43"/>
  <c r="M57" i="43"/>
  <c r="N57" i="43"/>
  <c r="K57" i="43"/>
  <c r="J57" i="43"/>
  <c r="D57"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Q72" i="15"/>
  <c r="Q58" i="15"/>
  <c r="Q51" i="15"/>
  <c r="Q59" i="15"/>
  <c r="AE13" i="1"/>
  <c r="M47" i="15"/>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8" i="1"/>
  <c r="B7" i="1"/>
  <c r="E7" i="1"/>
  <c r="A8" i="1"/>
  <c r="B8" i="1"/>
  <c r="A9" i="1"/>
  <c r="A10" i="1"/>
  <c r="A11" i="1"/>
  <c r="B11" i="1"/>
  <c r="A12" i="1"/>
  <c r="A13" i="1"/>
  <c r="F3" i="35"/>
  <c r="B13" i="1"/>
  <c r="O13" i="1"/>
  <c r="P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4" i="40"/>
  <c r="I54" i="40"/>
  <c r="C54" i="40"/>
  <c r="H53" i="40"/>
  <c r="I53" i="40"/>
  <c r="C53" i="40"/>
  <c r="H52" i="40"/>
  <c r="I52" i="40"/>
  <c r="C52" i="40"/>
  <c r="H64" i="39"/>
  <c r="I64" i="39"/>
  <c r="C64" i="39"/>
  <c r="H63" i="39"/>
  <c r="I63" i="39"/>
  <c r="C63" i="39"/>
  <c r="H59" i="39"/>
  <c r="I59" i="39"/>
  <c r="C59" i="39"/>
  <c r="H58" i="39"/>
  <c r="I58" i="39"/>
  <c r="C58" i="39"/>
  <c r="H57" i="39"/>
  <c r="I57" i="39"/>
  <c r="C57" i="39"/>
  <c r="H60" i="39"/>
  <c r="I60" i="39"/>
  <c r="C60" i="39"/>
  <c r="H62" i="39"/>
  <c r="I62" i="39"/>
  <c r="C62" i="39"/>
  <c r="H61" i="39"/>
  <c r="I61" i="39"/>
  <c r="C61" i="39"/>
  <c r="C145" i="21"/>
  <c r="K139" i="21"/>
  <c r="J142" i="21"/>
  <c r="J140" i="21"/>
  <c r="M87" i="21"/>
  <c r="L87" i="21"/>
  <c r="K87" i="21"/>
  <c r="J87" i="21"/>
  <c r="I87" i="21"/>
  <c r="H87" i="21"/>
  <c r="G87" i="21"/>
  <c r="F87" i="21"/>
  <c r="E87" i="21"/>
  <c r="D87" i="21"/>
  <c r="X7" i="43"/>
  <c r="R28" i="31"/>
  <c r="R29" i="31"/>
  <c r="S29" i="31"/>
  <c r="R30" i="31"/>
  <c r="R31" i="31"/>
  <c r="S31" i="31"/>
  <c r="R32" i="31"/>
  <c r="R33" i="31"/>
  <c r="S33" i="31"/>
  <c r="R34" i="31"/>
  <c r="R35" i="31"/>
  <c r="S35" i="31"/>
  <c r="R36" i="31"/>
  <c r="R37" i="31"/>
  <c r="S37" i="31"/>
  <c r="R38" i="31"/>
  <c r="R39" i="31"/>
  <c r="S39" i="31"/>
  <c r="R40" i="31"/>
  <c r="R41" i="31"/>
  <c r="S41" i="31"/>
  <c r="R42" i="31"/>
  <c r="R43" i="31"/>
  <c r="S43" i="31"/>
  <c r="R44" i="31"/>
  <c r="R45" i="31"/>
  <c r="S45" i="31"/>
  <c r="R46" i="31"/>
  <c r="R47" i="31"/>
  <c r="S47" i="31"/>
  <c r="R48" i="31"/>
  <c r="R49" i="31"/>
  <c r="S49" i="31"/>
  <c r="R50" i="31"/>
  <c r="R51" i="31"/>
  <c r="S51" i="31"/>
  <c r="R52" i="31"/>
  <c r="R53" i="31"/>
  <c r="S53" i="31"/>
  <c r="R54" i="31"/>
  <c r="R55" i="31"/>
  <c r="S55" i="31"/>
  <c r="R56" i="31"/>
  <c r="R57" i="31"/>
  <c r="S57" i="31"/>
  <c r="R58" i="31"/>
  <c r="R59" i="31"/>
  <c r="S59" i="31"/>
  <c r="R60" i="31"/>
  <c r="R61" i="31"/>
  <c r="S61" i="31"/>
  <c r="R62" i="31"/>
  <c r="R63" i="31"/>
  <c r="S63" i="31"/>
  <c r="R64" i="31"/>
  <c r="R65" i="31"/>
  <c r="S65" i="31"/>
  <c r="R66" i="31"/>
  <c r="R67" i="31"/>
  <c r="S67" i="31"/>
  <c r="R68" i="31"/>
  <c r="R69" i="31"/>
  <c r="S69" i="31"/>
  <c r="R70" i="31"/>
  <c r="R71" i="31"/>
  <c r="S71" i="31"/>
  <c r="R72" i="31"/>
  <c r="R73" i="31"/>
  <c r="S73" i="31"/>
  <c r="R74" i="31"/>
  <c r="R75" i="31"/>
  <c r="S75" i="31"/>
  <c r="R76" i="31"/>
  <c r="R77" i="31"/>
  <c r="S77" i="31"/>
  <c r="R78" i="31"/>
  <c r="R79" i="31"/>
  <c r="S79" i="31"/>
  <c r="R80" i="31"/>
  <c r="R81" i="31"/>
  <c r="S81" i="31"/>
  <c r="R82" i="31"/>
  <c r="R83" i="31"/>
  <c r="S83" i="31"/>
  <c r="R84" i="31"/>
  <c r="R85" i="31"/>
  <c r="S85" i="31"/>
  <c r="R86" i="31"/>
  <c r="R87" i="31"/>
  <c r="S87" i="31"/>
  <c r="R88" i="31"/>
  <c r="R89" i="31"/>
  <c r="S89" i="31"/>
  <c r="R90" i="31"/>
  <c r="R91" i="31"/>
  <c r="R92" i="31"/>
  <c r="R93" i="31"/>
  <c r="S93" i="31"/>
  <c r="R94" i="31"/>
  <c r="R95" i="31"/>
  <c r="S95" i="31"/>
  <c r="R96" i="31"/>
  <c r="R97" i="31"/>
  <c r="S97" i="31"/>
  <c r="R98" i="31"/>
  <c r="R99" i="31"/>
  <c r="S99" i="31"/>
  <c r="R100" i="31"/>
  <c r="R101" i="31"/>
  <c r="S101" i="31"/>
  <c r="R102" i="31"/>
  <c r="R103" i="31"/>
  <c r="S103" i="31"/>
  <c r="R104" i="31"/>
  <c r="R105" i="31"/>
  <c r="S105" i="31"/>
  <c r="R106" i="31"/>
  <c r="R107" i="31"/>
  <c r="R108" i="31"/>
  <c r="R109" i="31"/>
  <c r="S109" i="31"/>
  <c r="R110" i="31"/>
  <c r="R111" i="31"/>
  <c r="S111" i="31"/>
  <c r="R112" i="31"/>
  <c r="R113" i="31"/>
  <c r="S113" i="31"/>
  <c r="R114" i="31"/>
  <c r="R115" i="31"/>
  <c r="S115" i="31"/>
  <c r="R116" i="31"/>
  <c r="R117" i="31"/>
  <c r="S117" i="31"/>
  <c r="R118" i="31"/>
  <c r="R119" i="31"/>
  <c r="S119" i="31"/>
  <c r="R120" i="31"/>
  <c r="R121" i="31"/>
  <c r="S121" i="31"/>
  <c r="R122" i="31"/>
  <c r="R123" i="31"/>
  <c r="S123" i="31"/>
  <c r="R124" i="31"/>
  <c r="R125" i="31"/>
  <c r="S125" i="31"/>
  <c r="R126" i="31"/>
  <c r="R127" i="31"/>
  <c r="S127" i="31"/>
  <c r="R128" i="31"/>
  <c r="R129" i="31"/>
  <c r="S129" i="31"/>
  <c r="R130" i="31"/>
  <c r="R131" i="31"/>
  <c r="S131" i="31"/>
  <c r="R132" i="31"/>
  <c r="R133" i="31"/>
  <c r="S133" i="31"/>
  <c r="R134" i="31"/>
  <c r="R135" i="31"/>
  <c r="S135" i="31"/>
  <c r="R136" i="31"/>
  <c r="R137" i="31"/>
  <c r="S137" i="31"/>
  <c r="R138" i="31"/>
  <c r="R139" i="31"/>
  <c r="S139" i="31"/>
  <c r="R140" i="31"/>
  <c r="R141" i="31"/>
  <c r="S141" i="31"/>
  <c r="R142" i="31"/>
  <c r="R143" i="31"/>
  <c r="S143" i="31"/>
  <c r="R144" i="31"/>
  <c r="R145" i="31"/>
  <c r="S145" i="31"/>
  <c r="R146" i="31"/>
  <c r="R147" i="31"/>
  <c r="S147" i="31"/>
  <c r="R148" i="31"/>
  <c r="R149" i="31"/>
  <c r="S149" i="31"/>
  <c r="R150" i="31"/>
  <c r="R151" i="31"/>
  <c r="S151" i="31"/>
  <c r="R152" i="31"/>
  <c r="R153" i="31"/>
  <c r="S153" i="31"/>
  <c r="R154" i="31"/>
  <c r="R155" i="31"/>
  <c r="S155" i="31"/>
  <c r="R156" i="31"/>
  <c r="R157" i="31"/>
  <c r="S157" i="31"/>
  <c r="R158" i="31"/>
  <c r="R159" i="31"/>
  <c r="S159" i="31"/>
  <c r="R160" i="31"/>
  <c r="R161" i="31"/>
  <c r="S161" i="31"/>
  <c r="R162" i="31"/>
  <c r="R163" i="31"/>
  <c r="S163" i="31"/>
  <c r="R164" i="31"/>
  <c r="R165" i="31"/>
  <c r="S165" i="31"/>
  <c r="R166" i="31"/>
  <c r="R167" i="31"/>
  <c r="S167" i="31"/>
  <c r="R168" i="31"/>
  <c r="R169" i="31"/>
  <c r="S169" i="31"/>
  <c r="R170" i="31"/>
  <c r="R171" i="31"/>
  <c r="S171" i="31"/>
  <c r="R172" i="31"/>
  <c r="R173" i="31"/>
  <c r="S173" i="31"/>
  <c r="R174" i="31"/>
  <c r="R175" i="31"/>
  <c r="S175" i="31"/>
  <c r="R176" i="31"/>
  <c r="R177" i="31"/>
  <c r="S177" i="31"/>
  <c r="R178" i="31"/>
  <c r="R179" i="31"/>
  <c r="S179" i="31"/>
  <c r="R180" i="31"/>
  <c r="R181" i="31"/>
  <c r="S181" i="31"/>
  <c r="R182" i="31"/>
  <c r="R183" i="31"/>
  <c r="S183" i="31"/>
  <c r="R184" i="31"/>
  <c r="R185" i="31"/>
  <c r="S185" i="31"/>
  <c r="R186" i="31"/>
  <c r="R187" i="31"/>
  <c r="S187" i="31"/>
  <c r="R188" i="31"/>
  <c r="R189" i="31"/>
  <c r="S189" i="31"/>
  <c r="R190" i="31"/>
  <c r="R191" i="31"/>
  <c r="S191" i="31"/>
  <c r="R192" i="31"/>
  <c r="R193" i="31"/>
  <c r="S193" i="31"/>
  <c r="R194" i="31"/>
  <c r="R195" i="31"/>
  <c r="S195" i="31"/>
  <c r="R196" i="31"/>
  <c r="R197" i="31"/>
  <c r="S197" i="31"/>
  <c r="R198" i="31"/>
  <c r="R199" i="31"/>
  <c r="S199" i="31"/>
  <c r="R200" i="31"/>
  <c r="R201" i="31"/>
  <c r="S201" i="31"/>
  <c r="R202" i="31"/>
  <c r="R203" i="31"/>
  <c r="S203" i="31"/>
  <c r="R204" i="31"/>
  <c r="R205" i="31"/>
  <c r="S205" i="31"/>
  <c r="R206" i="31"/>
  <c r="R207" i="31"/>
  <c r="S207" i="31"/>
  <c r="R208" i="31"/>
  <c r="R209" i="31"/>
  <c r="S209" i="31"/>
  <c r="R210" i="31"/>
  <c r="R211" i="31"/>
  <c r="S211" i="31"/>
  <c r="R212" i="31"/>
  <c r="R213" i="31"/>
  <c r="S213" i="31"/>
  <c r="R214" i="31"/>
  <c r="R215" i="31"/>
  <c r="S215" i="31"/>
  <c r="R216" i="31"/>
  <c r="R217" i="31"/>
  <c r="S217" i="31"/>
  <c r="R218" i="31"/>
  <c r="R219" i="31"/>
  <c r="S219" i="31"/>
  <c r="R220" i="31"/>
  <c r="R221" i="31"/>
  <c r="S221" i="31"/>
  <c r="R222" i="31"/>
  <c r="R223" i="31"/>
  <c r="S223" i="31"/>
  <c r="R224" i="31"/>
  <c r="R225" i="31"/>
  <c r="S225" i="31"/>
  <c r="R226" i="31"/>
  <c r="R227" i="31"/>
  <c r="S227" i="31"/>
  <c r="R228" i="31"/>
  <c r="R229" i="31"/>
  <c r="S229" i="31"/>
  <c r="R230" i="31"/>
  <c r="R231" i="31"/>
  <c r="S231" i="31"/>
  <c r="R232" i="31"/>
  <c r="R233" i="31"/>
  <c r="S233" i="31"/>
  <c r="R234" i="31"/>
  <c r="R235" i="31"/>
  <c r="S235" i="31"/>
  <c r="R236" i="31"/>
  <c r="R237" i="31"/>
  <c r="S237" i="31"/>
  <c r="R238" i="31"/>
  <c r="R239" i="31"/>
  <c r="S239" i="31"/>
  <c r="R240" i="31"/>
  <c r="R241" i="31"/>
  <c r="S241" i="31"/>
  <c r="R242" i="31"/>
  <c r="R243" i="31"/>
  <c r="S243" i="31"/>
  <c r="R244" i="31"/>
  <c r="R245" i="31"/>
  <c r="S245" i="31"/>
  <c r="R246" i="31"/>
  <c r="R247" i="31"/>
  <c r="S247" i="31"/>
  <c r="R248" i="31"/>
  <c r="R249" i="31"/>
  <c r="S249" i="31"/>
  <c r="R250" i="31"/>
  <c r="R251" i="31"/>
  <c r="R252" i="31"/>
  <c r="R253" i="31"/>
  <c r="S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S278" i="31"/>
  <c r="R279" i="31"/>
  <c r="S279" i="31"/>
  <c r="R280" i="31"/>
  <c r="R281" i="31"/>
  <c r="S281" i="31"/>
  <c r="R282" i="31"/>
  <c r="S282" i="31"/>
  <c r="R283" i="31"/>
  <c r="S283" i="31"/>
  <c r="R284" i="31"/>
  <c r="S284" i="31"/>
  <c r="R285" i="31"/>
  <c r="S285" i="31"/>
  <c r="R286" i="31"/>
  <c r="R287" i="31"/>
  <c r="S287" i="31"/>
  <c r="R288" i="31"/>
  <c r="S288" i="31"/>
  <c r="R289" i="31"/>
  <c r="S289" i="31"/>
  <c r="R290" i="31"/>
  <c r="R291" i="31"/>
  <c r="S291" i="31"/>
  <c r="R292" i="31"/>
  <c r="S292" i="31"/>
  <c r="R293" i="31"/>
  <c r="S293" i="31"/>
  <c r="R294" i="31"/>
  <c r="S294" i="31"/>
  <c r="R295" i="31"/>
  <c r="S295" i="31"/>
  <c r="R296" i="31"/>
  <c r="R297" i="31"/>
  <c r="S297" i="31"/>
  <c r="R298" i="31"/>
  <c r="S298" i="31"/>
  <c r="R299" i="31"/>
  <c r="S299" i="31"/>
  <c r="R300" i="31"/>
  <c r="S300" i="31"/>
  <c r="R301" i="31"/>
  <c r="S301" i="31"/>
  <c r="R302" i="31"/>
  <c r="S302" i="31"/>
  <c r="R303" i="31"/>
  <c r="S303" i="31"/>
  <c r="R304" i="31"/>
  <c r="S304" i="31"/>
  <c r="R305" i="31"/>
  <c r="S305" i="31"/>
  <c r="R306" i="31"/>
  <c r="S306" i="31"/>
  <c r="R307" i="31"/>
  <c r="S307" i="31"/>
  <c r="R308" i="31"/>
  <c r="S308" i="31"/>
  <c r="R309" i="31"/>
  <c r="S309" i="31"/>
  <c r="R310" i="31"/>
  <c r="S310" i="31"/>
  <c r="R311" i="31"/>
  <c r="S311" i="31"/>
  <c r="R312" i="31"/>
  <c r="R313" i="31"/>
  <c r="S313" i="31"/>
  <c r="R314" i="31"/>
  <c r="S314" i="31"/>
  <c r="R315" i="31"/>
  <c r="S315" i="31"/>
  <c r="R316" i="31"/>
  <c r="S316" i="31"/>
  <c r="R317" i="31"/>
  <c r="S317" i="31"/>
  <c r="R318" i="31"/>
  <c r="S318" i="31"/>
  <c r="R319" i="31"/>
  <c r="S319" i="31"/>
  <c r="R320" i="31"/>
  <c r="S320" i="31"/>
  <c r="R321" i="31"/>
  <c r="S321" i="31"/>
  <c r="R322" i="31"/>
  <c r="S322" i="31"/>
  <c r="R323" i="31"/>
  <c r="S323" i="31"/>
  <c r="R324" i="31"/>
  <c r="S324" i="31"/>
  <c r="R325" i="31"/>
  <c r="S325" i="31"/>
  <c r="R326" i="31"/>
  <c r="R327" i="31"/>
  <c r="S327" i="31"/>
  <c r="R328" i="31"/>
  <c r="S328" i="31"/>
  <c r="R329" i="31"/>
  <c r="S329" i="31"/>
  <c r="R330" i="31"/>
  <c r="S330" i="31"/>
  <c r="R331" i="31"/>
  <c r="S331" i="31"/>
  <c r="R332" i="31"/>
  <c r="S332" i="31"/>
  <c r="R333" i="31"/>
  <c r="S333" i="31"/>
  <c r="R334" i="31"/>
  <c r="R335" i="31"/>
  <c r="S335" i="31"/>
  <c r="R336" i="31"/>
  <c r="S336" i="31"/>
  <c r="R337" i="31"/>
  <c r="S337" i="31"/>
  <c r="R338" i="31"/>
  <c r="S338" i="31"/>
  <c r="R339" i="31"/>
  <c r="S339" i="31"/>
  <c r="R340" i="31"/>
  <c r="S340" i="31"/>
  <c r="R341" i="31"/>
  <c r="S341" i="31"/>
  <c r="R342" i="31"/>
  <c r="R343" i="31"/>
  <c r="S343" i="31"/>
  <c r="R344" i="31"/>
  <c r="S344" i="31"/>
  <c r="R345" i="31"/>
  <c r="S345" i="31"/>
  <c r="R346" i="31"/>
  <c r="S346" i="31"/>
  <c r="R347" i="31"/>
  <c r="S347" i="31"/>
  <c r="R348" i="31"/>
  <c r="S348" i="31"/>
  <c r="R349" i="31"/>
  <c r="S349" i="31"/>
  <c r="R350" i="31"/>
  <c r="R351" i="31"/>
  <c r="S351" i="31"/>
  <c r="R352" i="31"/>
  <c r="S352" i="31"/>
  <c r="R353" i="31"/>
  <c r="S353" i="31"/>
  <c r="R354" i="31"/>
  <c r="S354" i="31"/>
  <c r="R355" i="31"/>
  <c r="S355" i="31"/>
  <c r="R356" i="31"/>
  <c r="S356" i="31"/>
  <c r="R357" i="31"/>
  <c r="S357" i="31"/>
  <c r="R358" i="31"/>
  <c r="R359" i="31"/>
  <c r="S359" i="31"/>
  <c r="R360" i="31"/>
  <c r="S360" i="31"/>
  <c r="R361" i="31"/>
  <c r="S361" i="31"/>
  <c r="R362" i="31"/>
  <c r="S362" i="31"/>
  <c r="R363" i="31"/>
  <c r="S363" i="31"/>
  <c r="R364" i="31"/>
  <c r="S364" i="31"/>
  <c r="R365" i="31"/>
  <c r="S365" i="31"/>
  <c r="R366" i="31"/>
  <c r="S366" i="31"/>
  <c r="R367" i="31"/>
  <c r="S367" i="31"/>
  <c r="R368" i="31"/>
  <c r="S368" i="31"/>
  <c r="R369" i="31"/>
  <c r="S369" i="31"/>
  <c r="R370" i="31"/>
  <c r="R371" i="31"/>
  <c r="S371" i="31"/>
  <c r="R372" i="31"/>
  <c r="S372" i="31"/>
  <c r="R373" i="31"/>
  <c r="S373" i="31"/>
  <c r="R374" i="31"/>
  <c r="S374" i="31"/>
  <c r="R375" i="31"/>
  <c r="S375" i="31"/>
  <c r="R376" i="31"/>
  <c r="S376" i="31"/>
  <c r="R377" i="31"/>
  <c r="S377" i="31"/>
  <c r="R378" i="31"/>
  <c r="R379" i="31"/>
  <c r="S379" i="31"/>
  <c r="R380" i="31"/>
  <c r="S380" i="31"/>
  <c r="R381" i="31"/>
  <c r="S381" i="31"/>
  <c r="R382" i="31"/>
  <c r="S382" i="31"/>
  <c r="R383" i="31"/>
  <c r="S383" i="31"/>
  <c r="R384" i="31"/>
  <c r="S384" i="31"/>
  <c r="R385" i="31"/>
  <c r="S385" i="31"/>
  <c r="R386" i="31"/>
  <c r="R387" i="31"/>
  <c r="S387" i="31"/>
  <c r="R388" i="31"/>
  <c r="S388" i="31"/>
  <c r="R389" i="31"/>
  <c r="S389" i="31"/>
  <c r="R390" i="31"/>
  <c r="S390" i="31"/>
  <c r="R391" i="31"/>
  <c r="S391" i="31"/>
  <c r="R392" i="31"/>
  <c r="S392" i="31"/>
  <c r="R393" i="31"/>
  <c r="S393" i="31"/>
  <c r="R394" i="31"/>
  <c r="R395" i="31"/>
  <c r="S395" i="31"/>
  <c r="R396" i="31"/>
  <c r="S396" i="31"/>
  <c r="R397" i="31"/>
  <c r="S397" i="31"/>
  <c r="R398" i="31"/>
  <c r="S398" i="31"/>
  <c r="R399" i="31"/>
  <c r="S399" i="31"/>
  <c r="R400" i="31"/>
  <c r="S400" i="31"/>
  <c r="R401" i="31"/>
  <c r="S401" i="31"/>
  <c r="R402" i="31"/>
  <c r="R403" i="31"/>
  <c r="S403" i="31"/>
  <c r="R404" i="31"/>
  <c r="S404" i="31"/>
  <c r="R405" i="31"/>
  <c r="S405" i="31"/>
  <c r="R406" i="31"/>
  <c r="S406" i="31"/>
  <c r="R407" i="31"/>
  <c r="S407" i="31"/>
  <c r="R408" i="31"/>
  <c r="S408" i="31"/>
  <c r="R409" i="31"/>
  <c r="S409" i="31"/>
  <c r="R410" i="31"/>
  <c r="R411" i="31"/>
  <c r="S411" i="31"/>
  <c r="R412" i="31"/>
  <c r="S412" i="31"/>
  <c r="R413" i="31"/>
  <c r="S413" i="31"/>
  <c r="R414" i="31"/>
  <c r="S414" i="31"/>
  <c r="R415" i="31"/>
  <c r="S415" i="31"/>
  <c r="R416" i="31"/>
  <c r="S416" i="31"/>
  <c r="R417" i="31"/>
  <c r="S417" i="31"/>
  <c r="R418" i="31"/>
  <c r="R419" i="31"/>
  <c r="S419" i="31"/>
  <c r="R420" i="31"/>
  <c r="S420" i="31"/>
  <c r="R421" i="31"/>
  <c r="S421" i="31"/>
  <c r="R422" i="31"/>
  <c r="S422" i="31"/>
  <c r="R423" i="31"/>
  <c r="S423" i="31"/>
  <c r="R424" i="31"/>
  <c r="S424" i="31"/>
  <c r="R425" i="31"/>
  <c r="S425" i="31"/>
  <c r="R426" i="31"/>
  <c r="S426" i="31"/>
  <c r="R427" i="31"/>
  <c r="S427" i="31"/>
  <c r="R428" i="31"/>
  <c r="R429" i="31"/>
  <c r="S429" i="31"/>
  <c r="R430" i="31"/>
  <c r="S430" i="31"/>
  <c r="R431" i="31"/>
  <c r="S431" i="31"/>
  <c r="R432" i="31"/>
  <c r="S432" i="31"/>
  <c r="R433" i="31"/>
  <c r="S433" i="31"/>
  <c r="R434" i="31"/>
  <c r="R435" i="31"/>
  <c r="S435" i="31"/>
  <c r="R436" i="31"/>
  <c r="S436" i="31"/>
  <c r="R437" i="31"/>
  <c r="S437" i="31"/>
  <c r="R438" i="31"/>
  <c r="S438" i="31"/>
  <c r="R439" i="31"/>
  <c r="S439" i="31"/>
  <c r="R440" i="31"/>
  <c r="S440" i="31"/>
  <c r="R441" i="31"/>
  <c r="S441" i="31"/>
  <c r="R442" i="31"/>
  <c r="R443" i="31"/>
  <c r="S443" i="31"/>
  <c r="R444" i="31"/>
  <c r="S444" i="31"/>
  <c r="R445" i="31"/>
  <c r="S445" i="31"/>
  <c r="R446" i="31"/>
  <c r="R447" i="31"/>
  <c r="S447" i="31"/>
  <c r="R448" i="31"/>
  <c r="S448" i="31"/>
  <c r="R449" i="31"/>
  <c r="S449" i="31"/>
  <c r="R450" i="31"/>
  <c r="R451" i="31"/>
  <c r="S451" i="31"/>
  <c r="R452" i="31"/>
  <c r="S452" i="31"/>
  <c r="R453" i="31"/>
  <c r="S453" i="31"/>
  <c r="R454" i="31"/>
  <c r="S454" i="31"/>
  <c r="R455" i="31"/>
  <c r="S455" i="31"/>
  <c r="R456" i="31"/>
  <c r="S456" i="31"/>
  <c r="R457" i="31"/>
  <c r="S457" i="31"/>
  <c r="R458" i="31"/>
  <c r="R459" i="31"/>
  <c r="S459" i="31"/>
  <c r="R460" i="31"/>
  <c r="S460" i="31"/>
  <c r="R461" i="31"/>
  <c r="S461" i="31"/>
  <c r="R462" i="31"/>
  <c r="S462" i="31"/>
  <c r="R463" i="31"/>
  <c r="S463" i="31"/>
  <c r="R464" i="31"/>
  <c r="S464" i="31"/>
  <c r="R465" i="31"/>
  <c r="S465" i="31"/>
  <c r="R466" i="31"/>
  <c r="R467" i="31"/>
  <c r="S467" i="31"/>
  <c r="R468" i="31"/>
  <c r="R469" i="31"/>
  <c r="S469" i="31"/>
  <c r="R470" i="31"/>
  <c r="S470" i="31"/>
  <c r="R471" i="31"/>
  <c r="S471" i="31"/>
  <c r="R472" i="31"/>
  <c r="R473" i="31"/>
  <c r="S473" i="31"/>
  <c r="R474" i="31"/>
  <c r="S474" i="31"/>
  <c r="R475" i="31"/>
  <c r="S475" i="31"/>
  <c r="R476" i="31"/>
  <c r="R477" i="31"/>
  <c r="S477" i="31"/>
  <c r="R478" i="31"/>
  <c r="S478" i="31"/>
  <c r="R479" i="31"/>
  <c r="S479" i="31"/>
  <c r="R480" i="31"/>
  <c r="R481" i="31"/>
  <c r="S481" i="31"/>
  <c r="R482" i="31"/>
  <c r="S482" i="31"/>
  <c r="R483" i="31"/>
  <c r="R484" i="31"/>
  <c r="S484" i="31"/>
  <c r="R485" i="31"/>
  <c r="S485" i="31"/>
  <c r="R486" i="31"/>
  <c r="R487" i="31"/>
  <c r="S487" i="31"/>
  <c r="R488" i="31"/>
  <c r="S488" i="31"/>
  <c r="R489" i="31"/>
  <c r="S489" i="31"/>
  <c r="R490" i="31"/>
  <c r="S490" i="31"/>
  <c r="R491" i="31"/>
  <c r="S491" i="31"/>
  <c r="R492" i="31"/>
  <c r="S492" i="31"/>
  <c r="R493" i="31"/>
  <c r="S493" i="31"/>
  <c r="R494" i="31"/>
  <c r="R495" i="31"/>
  <c r="S495" i="31"/>
  <c r="R496" i="31"/>
  <c r="S496" i="31"/>
  <c r="R497" i="31"/>
  <c r="S497" i="31"/>
  <c r="R498" i="31"/>
  <c r="S498" i="31"/>
  <c r="R499" i="31"/>
  <c r="S499" i="31"/>
  <c r="R500" i="31"/>
  <c r="R501" i="31"/>
  <c r="S501" i="31"/>
  <c r="R502" i="31"/>
  <c r="S502" i="31"/>
  <c r="R503" i="31"/>
  <c r="S503" i="31"/>
  <c r="R504" i="31"/>
  <c r="R505" i="31"/>
  <c r="S505" i="31"/>
  <c r="R506" i="31"/>
  <c r="S506" i="31"/>
  <c r="R507" i="31"/>
  <c r="S507" i="31"/>
  <c r="R508" i="31"/>
  <c r="R509" i="31"/>
  <c r="S509" i="31"/>
  <c r="R510" i="31"/>
  <c r="R511" i="31"/>
  <c r="S511" i="31"/>
  <c r="R512" i="31"/>
  <c r="S512" i="31"/>
  <c r="R513" i="31"/>
  <c r="S513" i="31"/>
  <c r="R514" i="31"/>
  <c r="S514" i="31"/>
  <c r="R515" i="31"/>
  <c r="S515" i="31"/>
  <c r="R516" i="31"/>
  <c r="R517" i="31"/>
  <c r="S517" i="31"/>
  <c r="R518" i="31"/>
  <c r="S518" i="31"/>
  <c r="R519" i="31"/>
  <c r="S519" i="31"/>
  <c r="R520" i="31"/>
  <c r="R521" i="31"/>
  <c r="S521" i="31"/>
  <c r="R522" i="31"/>
  <c r="S522" i="31"/>
  <c r="R523" i="31"/>
  <c r="S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K4" i="9"/>
  <c r="L22" i="4"/>
  <c r="B61" i="72"/>
  <c r="L20" i="4"/>
  <c r="A5" i="62"/>
  <c r="B72" i="72"/>
  <c r="A4" i="62"/>
  <c r="B70" i="72"/>
  <c r="F33" i="9"/>
  <c r="B37" i="48"/>
  <c r="B2" i="72"/>
  <c r="B13" i="53"/>
  <c r="B29" i="72"/>
  <c r="R35" i="4"/>
  <c r="Q35" i="4"/>
  <c r="P35" i="4"/>
  <c r="O35" i="4"/>
  <c r="N35" i="4"/>
  <c r="M35" i="4"/>
  <c r="L35" i="4"/>
  <c r="K34" i="4"/>
  <c r="T34" i="4"/>
  <c r="G13" i="1"/>
  <c r="H15" i="4"/>
  <c r="F9" i="1"/>
  <c r="G9" i="1"/>
  <c r="G15" i="4"/>
  <c r="F12" i="1"/>
  <c r="G12" i="1"/>
  <c r="F15" i="4"/>
  <c r="F11" i="1"/>
  <c r="G11" i="1"/>
  <c r="G7" i="1"/>
  <c r="C15" i="4"/>
  <c r="G6" i="1"/>
  <c r="L21" i="4"/>
  <c r="F19" i="4"/>
  <c r="F2" i="52"/>
  <c r="B50" i="72"/>
  <c r="D2" i="52"/>
  <c r="B46" i="72"/>
  <c r="B8" i="53"/>
  <c r="B23" i="72"/>
  <c r="L4" i="9"/>
  <c r="B17" i="72"/>
  <c r="B15" i="72"/>
  <c r="A3" i="51"/>
  <c r="C8" i="11"/>
  <c r="B40" i="48"/>
  <c r="B3" i="72"/>
  <c r="F35" i="4"/>
  <c r="J55" i="39"/>
  <c r="H38" i="43"/>
  <c r="H39" i="43"/>
  <c r="H40" i="43"/>
  <c r="H41" i="43"/>
  <c r="H42" i="43"/>
  <c r="H37" i="43"/>
  <c r="J24" i="43"/>
  <c r="C22" i="43"/>
  <c r="C10" i="43"/>
  <c r="C11" i="43"/>
  <c r="C9" i="43"/>
  <c r="F33" i="15"/>
  <c r="F61" i="15"/>
  <c r="M19" i="15"/>
  <c r="BR13" i="3"/>
  <c r="G41" i="69"/>
  <c r="B43" i="1"/>
  <c r="D78" i="9"/>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21" i="6"/>
  <c r="D24" i="15"/>
  <c r="E22" i="6"/>
  <c r="E23" i="6"/>
  <c r="O10" i="1"/>
  <c r="P10" i="1"/>
  <c r="E24" i="6"/>
  <c r="E25" i="6"/>
  <c r="E26" i="6"/>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H14" i="3"/>
  <c r="AC14" i="3"/>
  <c r="G14" i="3"/>
  <c r="H15" i="3"/>
  <c r="AC15" i="3"/>
  <c r="H16" i="3"/>
  <c r="AC16" i="3"/>
  <c r="H17" i="3"/>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I55" i="9"/>
  <c r="F55" i="9"/>
  <c r="O53" i="9"/>
  <c r="D89" i="9"/>
  <c r="C89" i="9"/>
  <c r="C87" i="9"/>
  <c r="J55" i="9"/>
  <c r="B31" i="1"/>
  <c r="E19" i="69"/>
  <c r="B52" i="1"/>
  <c r="M20" i="15"/>
  <c r="T4" i="1"/>
  <c r="F15" i="15"/>
  <c r="F17" i="15"/>
  <c r="F18" i="15"/>
  <c r="F20" i="15"/>
  <c r="F21" i="15"/>
  <c r="D3" i="35"/>
  <c r="N55" i="9"/>
  <c r="K55" i="9"/>
  <c r="O55" i="9"/>
  <c r="N54" i="9"/>
  <c r="N53" i="9"/>
  <c r="E48" i="9"/>
  <c r="N52" i="9"/>
  <c r="F56" i="9"/>
  <c r="O54" i="9"/>
  <c r="D101" i="9"/>
  <c r="C101"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8" i="31"/>
  <c r="S410" i="31"/>
  <c r="S402" i="31"/>
  <c r="S394" i="31"/>
  <c r="S386" i="31"/>
  <c r="S378" i="31"/>
  <c r="S370" i="31"/>
  <c r="S358" i="31"/>
  <c r="S350" i="31"/>
  <c r="S342" i="31"/>
  <c r="S334" i="31"/>
  <c r="S326" i="31"/>
  <c r="S312" i="31"/>
  <c r="S296" i="31"/>
  <c r="S290" i="31"/>
  <c r="S286" i="31"/>
  <c r="S280" i="31"/>
  <c r="S276" i="31"/>
  <c r="S274" i="31"/>
  <c r="S272" i="31"/>
  <c r="S270" i="31"/>
  <c r="S268" i="31"/>
  <c r="S266" i="31"/>
  <c r="S264" i="31"/>
  <c r="S262" i="31"/>
  <c r="S260" i="31"/>
  <c r="S258" i="31"/>
  <c r="S256" i="31"/>
  <c r="S254" i="31"/>
  <c r="S252" i="31"/>
  <c r="S251" i="31"/>
  <c r="S250" i="31"/>
  <c r="S248" i="31"/>
  <c r="S246" i="31"/>
  <c r="S244" i="31"/>
  <c r="S242" i="31"/>
  <c r="S240" i="31"/>
  <c r="S238" i="31"/>
  <c r="S236" i="31"/>
  <c r="S234" i="31"/>
  <c r="S232" i="31"/>
  <c r="S230" i="31"/>
  <c r="S228" i="31"/>
  <c r="S226" i="31"/>
  <c r="S224" i="31"/>
  <c r="S428"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4" i="31"/>
  <c r="S486" i="31"/>
  <c r="S483" i="31"/>
  <c r="S480" i="31"/>
  <c r="S476" i="31"/>
  <c r="S472" i="31"/>
  <c r="S468" i="31"/>
  <c r="S442" i="31"/>
  <c r="S434" i="31"/>
  <c r="S122" i="31"/>
  <c r="S120" i="31"/>
  <c r="S118" i="31"/>
  <c r="S116" i="31"/>
  <c r="S114" i="31"/>
  <c r="S112" i="31"/>
  <c r="S504" i="31"/>
  <c r="S500" i="31"/>
  <c r="S466" i="31"/>
  <c r="S458" i="31"/>
  <c r="S450" i="31"/>
  <c r="S54" i="31"/>
  <c r="S52" i="31"/>
  <c r="S50" i="31"/>
  <c r="S48" i="31"/>
  <c r="S46" i="31"/>
  <c r="S44" i="31"/>
  <c r="S42" i="31"/>
  <c r="S40" i="31"/>
  <c r="S38" i="31"/>
  <c r="S36" i="31"/>
  <c r="S34" i="31"/>
  <c r="S32" i="31"/>
  <c r="S76" i="31"/>
  <c r="S74" i="31"/>
  <c r="S72" i="31"/>
  <c r="S70" i="31"/>
  <c r="S68" i="31"/>
  <c r="S66" i="31"/>
  <c r="S64" i="31"/>
  <c r="S62" i="31"/>
  <c r="S60" i="31"/>
  <c r="S58" i="31"/>
  <c r="S56" i="31"/>
  <c r="S96" i="31"/>
  <c r="S94" i="31"/>
  <c r="S92" i="31"/>
  <c r="S91" i="31"/>
  <c r="S90" i="31"/>
  <c r="S88" i="31"/>
  <c r="S86" i="31"/>
  <c r="S84" i="31"/>
  <c r="S82" i="31"/>
  <c r="S80" i="31"/>
  <c r="S78" i="31"/>
  <c r="S30" i="31"/>
  <c r="S98" i="31"/>
  <c r="S100" i="31"/>
  <c r="S102" i="31"/>
  <c r="S104" i="31"/>
  <c r="S106" i="31"/>
  <c r="S107" i="31"/>
  <c r="S108" i="31"/>
  <c r="S110" i="31"/>
  <c r="S446" i="31"/>
  <c r="S508" i="31"/>
  <c r="S510"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6" i="31"/>
  <c r="S520" i="31"/>
  <c r="S524" i="31"/>
  <c r="F41" i="21"/>
  <c r="J41" i="21"/>
  <c r="AC41" i="21"/>
  <c r="H41" i="21"/>
  <c r="U41" i="21"/>
  <c r="D80" i="39"/>
  <c r="E80" i="39"/>
  <c r="F80" i="39"/>
  <c r="G80" i="39"/>
  <c r="H80" i="39"/>
  <c r="I80" i="39"/>
  <c r="J80" i="39"/>
  <c r="K80" i="39"/>
  <c r="L80" i="39"/>
  <c r="M80"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c r="G123" i="39"/>
  <c r="H123" i="39"/>
  <c r="I123" i="39"/>
  <c r="J123" i="39"/>
  <c r="K123" i="39"/>
  <c r="L123" i="39"/>
  <c r="M123" i="39"/>
  <c r="D119" i="39"/>
  <c r="E119" i="39"/>
  <c r="F119" i="39"/>
  <c r="G119" i="39"/>
  <c r="H119" i="39"/>
  <c r="I119" i="39"/>
  <c r="J119" i="39"/>
  <c r="K119" i="39"/>
  <c r="L119" i="39"/>
  <c r="M119" i="39"/>
  <c r="B113" i="39"/>
  <c r="J37" i="39"/>
  <c r="D108" i="39"/>
  <c r="F34" i="39"/>
  <c r="AA34" i="39"/>
  <c r="D106" i="39"/>
  <c r="E106" i="39"/>
  <c r="D104" i="39"/>
  <c r="E104" i="39"/>
  <c r="F104" i="39"/>
  <c r="G104" i="39"/>
  <c r="H104" i="39"/>
  <c r="I104" i="39"/>
  <c r="J104" i="39"/>
  <c r="K104" i="39"/>
  <c r="L104" i="39"/>
  <c r="M104" i="39"/>
  <c r="D100" i="39"/>
  <c r="D98" i="39"/>
  <c r="E98" i="39"/>
  <c r="F98" i="39"/>
  <c r="G98" i="39"/>
  <c r="Q39" i="39"/>
  <c r="Z39" i="39"/>
  <c r="Q40" i="39"/>
  <c r="Z40" i="39"/>
  <c r="Q41" i="39"/>
  <c r="Z41" i="39"/>
  <c r="Q42" i="39"/>
  <c r="Z42" i="39"/>
  <c r="Q43" i="39"/>
  <c r="Z43" i="39"/>
  <c r="Q44" i="39"/>
  <c r="Z44" i="39"/>
  <c r="Q45" i="39"/>
  <c r="Z45" i="39"/>
  <c r="Q38" i="39"/>
  <c r="Z38" i="39"/>
  <c r="Q36" i="39"/>
  <c r="Z36" i="39"/>
  <c r="Q37" i="39"/>
  <c r="Z37" i="39"/>
  <c r="B130" i="39"/>
  <c r="H45" i="39"/>
  <c r="B128" i="39"/>
  <c r="H44" i="39"/>
  <c r="B126" i="39"/>
  <c r="J43" i="39"/>
  <c r="D125" i="39"/>
  <c r="E125" i="39"/>
  <c r="F125" i="39"/>
  <c r="G125" i="39"/>
  <c r="H125" i="39"/>
  <c r="I125" i="39"/>
  <c r="J125" i="39"/>
  <c r="K125" i="39"/>
  <c r="L125" i="39"/>
  <c r="M125" i="39"/>
  <c r="D121" i="39"/>
  <c r="E121" i="39"/>
  <c r="F121" i="39"/>
  <c r="G121" i="39"/>
  <c r="H121" i="39"/>
  <c r="I121" i="39"/>
  <c r="J121" i="39"/>
  <c r="K121" i="39"/>
  <c r="L121" i="39"/>
  <c r="M121" i="39"/>
  <c r="H35" i="39"/>
  <c r="AB35" i="39"/>
  <c r="B103" i="39"/>
  <c r="D96" i="39"/>
  <c r="J23" i="39"/>
  <c r="AC23" i="39"/>
  <c r="D94" i="39"/>
  <c r="E94" i="39"/>
  <c r="F94" i="39"/>
  <c r="D92" i="39"/>
  <c r="E92" i="39"/>
  <c r="F92" i="39"/>
  <c r="G92" i="39"/>
  <c r="D90" i="39"/>
  <c r="E90" i="39"/>
  <c r="F90" i="39"/>
  <c r="G90" i="39"/>
  <c r="D88" i="39"/>
  <c r="E88" i="39"/>
  <c r="F88" i="39"/>
  <c r="G88" i="39"/>
  <c r="B85" i="39"/>
  <c r="B83" i="39"/>
  <c r="B81" i="39"/>
  <c r="J12" i="39"/>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AC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F16" i="36"/>
  <c r="AA16" i="36"/>
  <c r="U9" i="36"/>
  <c r="W28" i="36"/>
  <c r="U31" i="36"/>
  <c r="J33" i="36"/>
  <c r="AC33" i="36"/>
  <c r="H22" i="35"/>
  <c r="AB22" i="35"/>
  <c r="AC27" i="35"/>
  <c r="W28" i="35"/>
  <c r="U31" i="35"/>
  <c r="S34" i="35"/>
  <c r="W34" i="35"/>
  <c r="W36" i="35"/>
  <c r="W22" i="35"/>
  <c r="S31" i="35"/>
  <c r="U34" i="35"/>
  <c r="F36" i="34"/>
  <c r="J35" i="34"/>
  <c r="W9"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8" i="39"/>
  <c r="H31" i="39"/>
  <c r="AB31" i="39"/>
  <c r="F31" i="39"/>
  <c r="AA31" i="39"/>
  <c r="E100" i="39"/>
  <c r="H19" i="39"/>
  <c r="AB19" i="39"/>
  <c r="F19" i="39"/>
  <c r="AA19" i="39"/>
  <c r="H17" i="39"/>
  <c r="AB17" i="39"/>
  <c r="F17" i="39"/>
  <c r="AA17" i="39"/>
  <c r="J23" i="40"/>
  <c r="AC23" i="40"/>
  <c r="F21" i="40"/>
  <c r="AA21" i="40"/>
  <c r="J21" i="40"/>
  <c r="W21" i="40"/>
  <c r="H42" i="39"/>
  <c r="AB42" i="39"/>
  <c r="J34" i="39"/>
  <c r="AC34" i="39"/>
  <c r="F108" i="39"/>
  <c r="G108" i="39"/>
  <c r="H108" i="39"/>
  <c r="I108" i="39"/>
  <c r="J108" i="39"/>
  <c r="K108" i="39"/>
  <c r="L108" i="39"/>
  <c r="M108" i="39"/>
  <c r="J31" i="39"/>
  <c r="F100"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F14" i="35"/>
  <c r="AA14" i="35"/>
  <c r="F23" i="35"/>
  <c r="AA23" i="35"/>
  <c r="J32" i="35"/>
  <c r="AC32" i="35"/>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c r="H29" i="35"/>
  <c r="AB29" i="35"/>
  <c r="H33" i="37"/>
  <c r="AB33" i="37"/>
  <c r="F33" i="37"/>
  <c r="AA33" i="37"/>
  <c r="U34"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AC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U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c r="J11" i="35"/>
  <c r="W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J10" i="36"/>
  <c r="AC10" i="36"/>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U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c r="F15" i="39"/>
  <c r="AA15" i="39"/>
  <c r="H15" i="39"/>
  <c r="U15" i="39"/>
  <c r="J15" i="39"/>
  <c r="W15" i="39"/>
  <c r="H41" i="39"/>
  <c r="AB41" i="39"/>
  <c r="W27" i="39"/>
  <c r="AB34" i="39"/>
  <c r="U40" i="39"/>
  <c r="S42" i="39"/>
  <c r="AA41" i="39"/>
  <c r="W9" i="39"/>
  <c r="W8" i="39"/>
  <c r="J19" i="40"/>
  <c r="AC19" i="40"/>
  <c r="J50" i="40"/>
  <c r="H103" i="9"/>
  <c r="D8" i="53"/>
  <c r="B16" i="53"/>
  <c r="B33" i="72"/>
  <c r="C7" i="37"/>
  <c r="C7" i="36"/>
  <c r="C46" i="36"/>
  <c r="D46" i="36"/>
  <c r="E46" i="36"/>
  <c r="F46" i="36"/>
  <c r="G46" i="36"/>
  <c r="H46" i="36"/>
  <c r="I46" i="36"/>
  <c r="W35" i="40"/>
  <c r="A118" i="9"/>
  <c r="A4" i="52"/>
  <c r="B41" i="72"/>
  <c r="J11" i="39"/>
  <c r="W11" i="39"/>
  <c r="F11" i="39"/>
  <c r="AA11" i="39"/>
  <c r="S11" i="39"/>
  <c r="G4" i="4"/>
  <c r="I4" i="4"/>
  <c r="A2" i="9"/>
  <c r="F61" i="43"/>
  <c r="H64"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c r="F50" i="43"/>
  <c r="H54" i="43"/>
  <c r="F72" i="43"/>
  <c r="H75" i="43"/>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6" i="39"/>
  <c r="F96" i="39"/>
  <c r="G96" i="39"/>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D93" i="9"/>
  <c r="AP6" i="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S13" i="1"/>
  <c r="AR13" i="1"/>
  <c r="R13" i="1"/>
  <c r="J51" i="67"/>
  <c r="AC34" i="33"/>
  <c r="AA34" i="33"/>
  <c r="B41" i="1"/>
  <c r="F48" i="9"/>
  <c r="O52" i="9"/>
  <c r="AB37" i="40"/>
  <c r="S35" i="40"/>
  <c r="U35" i="40"/>
  <c r="AC36" i="40"/>
  <c r="W38" i="40"/>
  <c r="AA32" i="40"/>
  <c r="S17" i="40"/>
  <c r="S23" i="40"/>
  <c r="AC17" i="40"/>
  <c r="AC15" i="40"/>
  <c r="AB27" i="40"/>
  <c r="S30" i="40"/>
  <c r="AA19" i="40"/>
  <c r="S28" i="40"/>
  <c r="AA27" i="40"/>
  <c r="U21" i="40"/>
  <c r="AB19" i="40"/>
  <c r="U37" i="39"/>
  <c r="S43" i="39"/>
  <c r="S37" i="39"/>
  <c r="U35" i="39"/>
  <c r="F32" i="39"/>
  <c r="F106" i="39"/>
  <c r="G106" i="39"/>
  <c r="H106" i="39"/>
  <c r="I106" i="39"/>
  <c r="J106" i="39"/>
  <c r="K106" i="39"/>
  <c r="L106" i="39"/>
  <c r="M106" i="39"/>
  <c r="U25" i="39"/>
  <c r="AB27" i="39"/>
  <c r="U31" i="39"/>
  <c r="J21" i="39"/>
  <c r="W21" i="39"/>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c r="H9" i="35"/>
  <c r="U9" i="35"/>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c r="F63" i="37"/>
  <c r="F11" i="37"/>
  <c r="S11" i="37"/>
  <c r="S27" i="34"/>
  <c r="W25" i="34"/>
  <c r="AB8" i="34"/>
  <c r="AA33" i="34"/>
  <c r="U44" i="34"/>
  <c r="U43" i="34"/>
  <c r="AC39" i="34"/>
  <c r="W41" i="34"/>
  <c r="AC42" i="34"/>
  <c r="AB35" i="34"/>
  <c r="U39" i="34"/>
  <c r="S43" i="34"/>
  <c r="AB41" i="34"/>
  <c r="AA45" i="34"/>
  <c r="AA25" i="34"/>
  <c r="U28" i="34"/>
  <c r="S17" i="34"/>
  <c r="AA29" i="34"/>
  <c r="U27" i="34"/>
  <c r="S23" i="34"/>
  <c r="U15" i="34"/>
  <c r="S13" i="34"/>
  <c r="H10" i="34"/>
  <c r="AB10" i="34"/>
  <c r="F11" i="34"/>
  <c r="S11" i="34"/>
  <c r="F70" i="34"/>
  <c r="W42" i="33"/>
  <c r="AA35" i="33"/>
  <c r="S27" i="33"/>
  <c r="S32" i="33"/>
  <c r="AA29" i="33"/>
  <c r="AB29" i="33"/>
  <c r="W38" i="33"/>
  <c r="H41" i="33"/>
  <c r="F121" i="33"/>
  <c r="G121" i="33"/>
  <c r="H121" i="33"/>
  <c r="I121" i="33"/>
  <c r="J121" i="33"/>
  <c r="K121" i="33"/>
  <c r="L121" i="33"/>
  <c r="M121" i="33"/>
  <c r="U42" i="33"/>
  <c r="S42" i="33"/>
  <c r="F36" i="33"/>
  <c r="AA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c r="H10" i="33"/>
  <c r="U10" i="33"/>
  <c r="AC11" i="33"/>
  <c r="AB14" i="33"/>
  <c r="W43" i="21"/>
  <c r="W36" i="21"/>
  <c r="W41" i="21"/>
  <c r="AB39" i="21"/>
  <c r="AA43" i="21"/>
  <c r="S39" i="21"/>
  <c r="AA38" i="21"/>
  <c r="AA36" i="21"/>
  <c r="AC40" i="21"/>
  <c r="J15" i="21"/>
  <c r="W15" i="21"/>
  <c r="F77" i="21"/>
  <c r="G77" i="21"/>
  <c r="F23" i="21"/>
  <c r="S23" i="21"/>
  <c r="E85" i="21"/>
  <c r="AA14" i="21"/>
  <c r="D120" i="9"/>
  <c r="D121" i="9"/>
  <c r="D7" i="52"/>
  <c r="F34" i="67"/>
  <c r="F62" i="67"/>
  <c r="M20" i="67"/>
  <c r="F34" i="15"/>
  <c r="F62" i="15"/>
  <c r="BL17" i="3"/>
  <c r="AZ17" i="3"/>
  <c r="BL13" i="3"/>
  <c r="BL5" i="3"/>
  <c r="J56" i="9"/>
  <c r="J57" i="9"/>
  <c r="J59" i="9"/>
  <c r="J61" i="9"/>
  <c r="A24" i="51"/>
  <c r="B18" i="72"/>
  <c r="U29" i="34"/>
  <c r="E5" i="6"/>
  <c r="E32" i="6"/>
  <c r="G22" i="69"/>
  <c r="G22" i="68"/>
  <c r="G26" i="12"/>
  <c r="G22" i="11"/>
  <c r="C6" i="43"/>
  <c r="B19" i="53"/>
  <c r="B37" i="72"/>
  <c r="C7" i="39"/>
  <c r="C67" i="39"/>
  <c r="C7" i="35"/>
  <c r="C7" i="21"/>
  <c r="C7" i="40"/>
  <c r="C63" i="40"/>
  <c r="M47" i="9"/>
  <c r="C52" i="37"/>
  <c r="D52" i="37"/>
  <c r="A4" i="51"/>
  <c r="B6" i="72"/>
  <c r="C48" i="35"/>
  <c r="D48" i="35"/>
  <c r="H67" i="43"/>
  <c r="B6" i="1"/>
  <c r="E6" i="1"/>
  <c r="O11" i="1"/>
  <c r="B9" i="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c r="J33" i="21"/>
  <c r="AC33" i="21"/>
  <c r="H33" i="21"/>
  <c r="AB33" i="21"/>
  <c r="F37" i="21"/>
  <c r="AA37" i="21"/>
  <c r="AA26" i="21"/>
  <c r="AB14" i="21"/>
  <c r="AB46" i="21"/>
  <c r="U40" i="21"/>
  <c r="AB31" i="21"/>
  <c r="U31" i="21"/>
  <c r="AC15" i="21"/>
  <c r="U13" i="21"/>
  <c r="AB13" i="21"/>
  <c r="S35" i="21"/>
  <c r="J37" i="21"/>
  <c r="W37" i="21"/>
  <c r="H15" i="21"/>
  <c r="U15" i="21"/>
  <c r="J17" i="21"/>
  <c r="AC17" i="21"/>
  <c r="AC19" i="21"/>
  <c r="W39" i="21"/>
  <c r="AC14" i="21"/>
  <c r="W30" i="21"/>
  <c r="S46" i="21"/>
  <c r="H45" i="21"/>
  <c r="U45" i="21"/>
  <c r="F29" i="21"/>
  <c r="S29" i="21"/>
  <c r="F13" i="21"/>
  <c r="AA13" i="21"/>
  <c r="AC38" i="21"/>
  <c r="H32" i="21"/>
  <c r="H9" i="21"/>
  <c r="J9" i="21"/>
  <c r="J32" i="21"/>
  <c r="W32" i="21"/>
  <c r="F32" i="21"/>
  <c r="AA31" i="21"/>
  <c r="U17" i="21"/>
  <c r="W29" i="21"/>
  <c r="S19" i="21"/>
  <c r="S9" i="21"/>
  <c r="AA9" i="21"/>
  <c r="K141" i="21"/>
  <c r="K144" i="21"/>
  <c r="K143" i="21"/>
  <c r="U27" i="21"/>
  <c r="AB25" i="21"/>
  <c r="AB44" i="21"/>
  <c r="AA30" i="21"/>
  <c r="W13" i="21"/>
  <c r="W42" i="21"/>
  <c r="AC45" i="21"/>
  <c r="F10" i="21"/>
  <c r="AA10" i="2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E4" i="4"/>
  <c r="B5" i="62"/>
  <c r="B73" i="72"/>
  <c r="B8" i="49"/>
  <c r="C4" i="4"/>
  <c r="F30" i="68"/>
  <c r="F48" i="68"/>
  <c r="F30" i="11"/>
  <c r="C48" i="11"/>
  <c r="F28" i="67"/>
  <c r="F31" i="12"/>
  <c r="F52" i="9"/>
  <c r="M18" i="67"/>
  <c r="F32" i="67"/>
  <c r="F60" i="67"/>
  <c r="F30" i="69"/>
  <c r="F48" i="69"/>
  <c r="F32" i="15"/>
  <c r="F60" i="15"/>
  <c r="M18" i="15"/>
  <c r="F28" i="15"/>
  <c r="AA39" i="40"/>
  <c r="S39" i="40"/>
  <c r="S12" i="33"/>
  <c r="AA12" i="33"/>
  <c r="D68" i="9"/>
  <c r="F54" i="9"/>
  <c r="J32" i="39"/>
  <c r="H32" i="39"/>
  <c r="AB32" i="39"/>
  <c r="AA32" i="39"/>
  <c r="S32" i="39"/>
  <c r="AB21" i="39"/>
  <c r="U21" i="39"/>
  <c r="AA21" i="39"/>
  <c r="S21" i="39"/>
  <c r="AC17" i="37"/>
  <c r="S17" i="37"/>
  <c r="J19" i="37"/>
  <c r="G75" i="37"/>
  <c r="S19" i="37"/>
  <c r="AA19" i="37"/>
  <c r="AA23" i="37"/>
  <c r="J23" i="37"/>
  <c r="G79" i="37"/>
  <c r="J10" i="37"/>
  <c r="W10" i="37"/>
  <c r="G63" i="37"/>
  <c r="H11" i="37"/>
  <c r="AB11" i="37"/>
  <c r="G70" i="34"/>
  <c r="H11" i="34"/>
  <c r="U11" i="34"/>
  <c r="J10" i="34"/>
  <c r="AC10" i="34"/>
  <c r="AB41" i="33"/>
  <c r="U41" i="33"/>
  <c r="W35" i="33"/>
  <c r="AC35" i="33"/>
  <c r="H111" i="33"/>
  <c r="I111" i="33"/>
  <c r="J111" i="33"/>
  <c r="K111" i="33"/>
  <c r="L111" i="33"/>
  <c r="M111" i="33"/>
  <c r="J36" i="33"/>
  <c r="W36" i="33"/>
  <c r="H36" i="33"/>
  <c r="U36" i="33"/>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c r="H70" i="34"/>
  <c r="I70" i="34"/>
  <c r="J70" i="34"/>
  <c r="K70" i="34"/>
  <c r="L70" i="34"/>
  <c r="M70" i="34"/>
  <c r="J11" i="34"/>
  <c r="W11" i="34"/>
  <c r="AB36" i="33"/>
  <c r="W27" i="33"/>
  <c r="AC27" i="33"/>
  <c r="W25" i="33"/>
  <c r="AC25" i="33"/>
  <c r="AA23" i="33"/>
  <c r="S23" i="33"/>
  <c r="AB19" i="33"/>
  <c r="U19" i="33"/>
  <c r="AA17" i="33"/>
  <c r="S17" i="33"/>
  <c r="U17" i="33"/>
  <c r="AB17" i="33"/>
  <c r="U23" i="21"/>
  <c r="AB23" i="21"/>
  <c r="AC23" i="21"/>
  <c r="W23" i="21"/>
  <c r="H109" i="9"/>
  <c r="AD3" i="71"/>
  <c r="J1" i="73"/>
  <c r="H69" i="43"/>
  <c r="C22" i="71"/>
  <c r="D22" i="71"/>
  <c r="D23" i="71"/>
  <c r="D24" i="71"/>
  <c r="U24" i="71"/>
  <c r="S24" i="71"/>
  <c r="T24" i="71"/>
  <c r="AB22" i="71"/>
  <c r="X20" i="71"/>
  <c r="X19" i="71"/>
  <c r="AA20" i="71"/>
  <c r="AA19" i="71"/>
  <c r="X23" i="71"/>
  <c r="Z18" i="71"/>
  <c r="Y19" i="71"/>
  <c r="Z19" i="71"/>
  <c r="AB20" i="71"/>
  <c r="AB19" i="71"/>
  <c r="S20" i="71"/>
  <c r="F21" i="71"/>
  <c r="F20" i="71"/>
  <c r="Y20" i="71"/>
  <c r="Z20" i="71"/>
  <c r="X3" i="71"/>
  <c r="C21" i="71"/>
  <c r="E21" i="71"/>
  <c r="E20" i="71"/>
  <c r="V20" i="71"/>
  <c r="C20" i="71"/>
  <c r="D21" i="71"/>
  <c r="D18" i="71"/>
  <c r="T20" i="71"/>
  <c r="D19" i="71"/>
  <c r="D20" i="71"/>
  <c r="U20" i="71"/>
  <c r="D22" i="15"/>
  <c r="D23" i="15"/>
  <c r="G1" i="68"/>
  <c r="H50" i="43"/>
  <c r="U34" i="34"/>
  <c r="C24" i="12"/>
  <c r="C40" i="68"/>
  <c r="C40" i="69"/>
  <c r="C40" i="11"/>
  <c r="C21" i="68"/>
  <c r="E19" i="11"/>
  <c r="E19" i="68"/>
  <c r="G1" i="69"/>
  <c r="K1" i="12"/>
  <c r="G1" i="15"/>
  <c r="O7" i="1"/>
  <c r="P7" i="1"/>
  <c r="G28" i="6"/>
  <c r="E13" i="3"/>
  <c r="D16" i="53"/>
  <c r="B34" i="72"/>
  <c r="C28" i="67"/>
  <c r="H83" i="43"/>
  <c r="D74" i="43"/>
  <c r="E50" i="43"/>
  <c r="B48"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156" i="3"/>
  <c r="E85" i="3"/>
  <c r="E434" i="3"/>
  <c r="E511" i="3"/>
  <c r="E262" i="3"/>
  <c r="E45" i="3"/>
  <c r="E177" i="3"/>
  <c r="E519" i="3"/>
  <c r="Q6" i="3"/>
  <c r="E458" i="3"/>
  <c r="E481" i="3"/>
  <c r="E457" i="3"/>
  <c r="E344" i="3"/>
  <c r="E571" i="3"/>
  <c r="E429" i="3"/>
  <c r="E433" i="3"/>
  <c r="E55" i="3"/>
  <c r="E111" i="3"/>
  <c r="E203" i="3"/>
  <c r="E279" i="3"/>
  <c r="E274" i="3"/>
  <c r="E318" i="3"/>
  <c r="E580" i="3"/>
  <c r="E567" i="3"/>
  <c r="I6" i="3"/>
  <c r="E269" i="3"/>
  <c r="E252" i="3"/>
  <c r="E107" i="3"/>
  <c r="E576" i="3"/>
  <c r="AG6" i="3"/>
  <c r="E515" i="3"/>
  <c r="E478" i="3"/>
  <c r="E485" i="3"/>
  <c r="E400" i="3"/>
  <c r="E443" i="3"/>
  <c r="E558" i="3"/>
  <c r="E505" i="3"/>
  <c r="AS6" i="3"/>
  <c r="E531" i="3"/>
  <c r="E489" i="3"/>
  <c r="E404" i="3"/>
  <c r="E88" i="3"/>
  <c r="E27" i="3"/>
  <c r="E162" i="3"/>
  <c r="E182" i="3"/>
  <c r="E211" i="3"/>
  <c r="E295" i="3"/>
  <c r="E316" i="3"/>
  <c r="E331" i="3"/>
  <c r="E384" i="3"/>
  <c r="E572" i="3"/>
  <c r="E109" i="3"/>
  <c r="E480" i="3"/>
  <c r="E441" i="3"/>
  <c r="E14" i="6"/>
  <c r="E63" i="39"/>
  <c r="I4" i="6"/>
  <c r="E29" i="6"/>
  <c r="K15" i="1"/>
  <c r="F30" i="6"/>
  <c r="G30" i="6"/>
  <c r="G31" i="6"/>
  <c r="E28" i="6"/>
  <c r="L27" i="6"/>
  <c r="O6" i="1"/>
  <c r="T13" i="1"/>
  <c r="C58" i="21"/>
  <c r="D58" i="21"/>
  <c r="C58" i="33"/>
  <c r="C59" i="34"/>
  <c r="D59" i="34"/>
  <c r="E59" i="34"/>
  <c r="F59" i="34"/>
  <c r="G59" i="34"/>
  <c r="H59" i="34"/>
  <c r="I59" i="34"/>
  <c r="J59" i="34"/>
  <c r="C28"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c r="C30" i="11"/>
  <c r="C21" i="69"/>
  <c r="J84" i="43"/>
  <c r="J85" i="43"/>
  <c r="J86" i="43"/>
  <c r="J87" i="43"/>
  <c r="J88" i="43"/>
  <c r="J89" i="43"/>
  <c r="J90" i="43"/>
  <c r="D83" i="43"/>
  <c r="E83" i="43"/>
  <c r="B81" i="43"/>
  <c r="D66" i="43"/>
  <c r="D64" i="43"/>
  <c r="D62" i="43"/>
  <c r="D67" i="43"/>
  <c r="D65" i="43"/>
  <c r="D63" i="43"/>
  <c r="D69" i="43"/>
  <c r="D73" i="43"/>
  <c r="D75" i="43"/>
  <c r="D79" i="43"/>
  <c r="D22" i="67"/>
  <c r="AQ13" i="1"/>
  <c r="Q16" i="1"/>
  <c r="F27" i="69"/>
  <c r="C29" i="69"/>
  <c r="D27" i="69"/>
  <c r="E8" i="6"/>
  <c r="F27" i="6"/>
  <c r="E12" i="6"/>
  <c r="E57" i="40"/>
  <c r="E53" i="3"/>
  <c r="E125" i="3"/>
  <c r="E175" i="3"/>
  <c r="E319" i="3"/>
  <c r="E366" i="3"/>
  <c r="E530" i="3"/>
  <c r="E501" i="3"/>
  <c r="E553" i="3"/>
  <c r="E343" i="3"/>
  <c r="E153" i="3"/>
  <c r="E282" i="3"/>
  <c r="E305" i="3"/>
  <c r="E426" i="3"/>
  <c r="N6" i="3"/>
  <c r="E508" i="3"/>
  <c r="E328" i="3"/>
  <c r="E239" i="3"/>
  <c r="E388" i="3"/>
  <c r="O6" i="3"/>
  <c r="E516" i="3"/>
  <c r="E555" i="3"/>
  <c r="E574" i="3"/>
  <c r="E569" i="3"/>
  <c r="E410" i="3"/>
  <c r="E359" i="3"/>
  <c r="E396" i="3"/>
  <c r="E337" i="3"/>
  <c r="E285" i="3"/>
  <c r="E229" i="3"/>
  <c r="E143" i="3"/>
  <c r="E97" i="3"/>
  <c r="E151" i="3"/>
  <c r="E270" i="3"/>
  <c r="E390" i="3"/>
  <c r="E358" i="3"/>
  <c r="E533" i="3"/>
  <c r="S6" i="3"/>
  <c r="E559" i="3"/>
  <c r="AR6" i="3"/>
  <c r="E523" i="3"/>
  <c r="E551" i="3"/>
  <c r="E561" i="3"/>
  <c r="E506" i="3"/>
  <c r="V6" i="3"/>
  <c r="E538" i="3"/>
  <c r="E418" i="3"/>
  <c r="E407" i="3"/>
  <c r="E439" i="3"/>
  <c r="E338" i="3"/>
  <c r="E320" i="3"/>
  <c r="E380" i="3"/>
  <c r="E321" i="3"/>
  <c r="E294" i="3"/>
  <c r="E231" i="3"/>
  <c r="E298" i="3"/>
  <c r="E230" i="3"/>
  <c r="E216" i="3"/>
  <c r="E169" i="3"/>
  <c r="E130" i="3"/>
  <c r="E185"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c r="E11" i="6"/>
  <c r="E60" i="39"/>
  <c r="E10" i="6"/>
  <c r="E13" i="6"/>
  <c r="P11" i="1"/>
  <c r="D9" i="11"/>
  <c r="C9" i="11"/>
  <c r="D19" i="12"/>
  <c r="C19" i="12"/>
  <c r="O9" i="1"/>
  <c r="P9" i="1"/>
  <c r="O12" i="1"/>
  <c r="P12" i="1"/>
  <c r="O8" i="1"/>
  <c r="P8" i="1"/>
  <c r="H73" i="43"/>
  <c r="H90" i="43"/>
  <c r="O23" i="43"/>
  <c r="I18" i="43"/>
  <c r="E17" i="43"/>
  <c r="C17" i="43"/>
  <c r="A1" i="79"/>
  <c r="H55" i="43"/>
  <c r="H86" i="43"/>
  <c r="H87" i="43"/>
  <c r="H89" i="43"/>
  <c r="H88" i="43"/>
  <c r="H84" i="43"/>
  <c r="C69" i="39"/>
  <c r="D67" i="39"/>
  <c r="D69" i="39"/>
  <c r="A19" i="51"/>
  <c r="B14" i="72"/>
  <c r="T35" i="4"/>
  <c r="H110" i="9"/>
  <c r="H52" i="43"/>
  <c r="K5" i="4"/>
  <c r="B47" i="48"/>
  <c r="Y8" i="71"/>
  <c r="Z8" i="71"/>
  <c r="X8" i="71"/>
  <c r="AB8" i="71"/>
  <c r="AA8" i="71"/>
  <c r="B8" i="74"/>
  <c r="H76" i="43"/>
  <c r="H72" i="43"/>
  <c r="H63" i="43"/>
  <c r="H61" i="43"/>
  <c r="H53" i="43"/>
  <c r="H79" i="43"/>
  <c r="D17" i="53"/>
  <c r="B36" i="72"/>
  <c r="D124" i="9"/>
  <c r="H74" i="43"/>
  <c r="H57" i="43"/>
  <c r="H66" i="43"/>
  <c r="H68" i="43"/>
  <c r="H80" i="43"/>
  <c r="H77" i="43"/>
  <c r="E44" i="43"/>
  <c r="C44" i="43"/>
  <c r="AC21" i="39"/>
  <c r="AB23" i="39"/>
  <c r="AB15" i="39"/>
  <c r="AC15" i="39"/>
  <c r="S25" i="39"/>
  <c r="W39" i="39"/>
  <c r="W42" i="39"/>
  <c r="W14" i="39"/>
  <c r="S29" i="39"/>
  <c r="E11" i="43"/>
  <c r="E9" i="43"/>
  <c r="E10" i="43"/>
  <c r="E8" i="43"/>
  <c r="D23" i="67"/>
  <c r="G25" i="12"/>
  <c r="G41" i="11"/>
  <c r="G27" i="12"/>
  <c r="G41" i="68"/>
  <c r="K59" i="34"/>
  <c r="L59" i="34"/>
  <c r="M59" i="34"/>
  <c r="N59" i="34"/>
  <c r="O59" i="34"/>
  <c r="J46" i="36"/>
  <c r="K46" i="36"/>
  <c r="L46" i="36"/>
  <c r="M46" i="36"/>
  <c r="N46" i="36"/>
  <c r="O46" i="36"/>
  <c r="H7" i="36"/>
  <c r="E52" i="37"/>
  <c r="F52" i="37"/>
  <c r="G52" i="37"/>
  <c r="H52" i="37"/>
  <c r="I52" i="37"/>
  <c r="J52" i="37"/>
  <c r="K52" i="37"/>
  <c r="L52" i="37"/>
  <c r="M52" i="37"/>
  <c r="N52" i="37"/>
  <c r="O52" i="37"/>
  <c r="J7" i="37"/>
  <c r="J7" i="36"/>
  <c r="F7" i="36"/>
  <c r="E48" i="35"/>
  <c r="D63" i="40"/>
  <c r="C65" i="40"/>
  <c r="D58" i="33"/>
  <c r="E58" i="33"/>
  <c r="F58" i="33"/>
  <c r="G58" i="33"/>
  <c r="H58" i="33"/>
  <c r="I58" i="33"/>
  <c r="J58" i="33"/>
  <c r="K58" i="33"/>
  <c r="L58" i="33"/>
  <c r="M58" i="33"/>
  <c r="N58" i="33"/>
  <c r="O58" i="33"/>
  <c r="K4" i="4"/>
  <c r="B46" i="48"/>
  <c r="B4" i="72"/>
  <c r="B4" i="62"/>
  <c r="B71" i="72"/>
  <c r="D9" i="53"/>
  <c r="B25" i="72"/>
  <c r="B24" i="72"/>
  <c r="K120" i="9"/>
  <c r="A18" i="62"/>
  <c r="B64" i="72"/>
  <c r="D15" i="71"/>
  <c r="C14" i="71"/>
  <c r="Y16" i="71"/>
  <c r="Z16" i="71"/>
  <c r="Y15" i="71"/>
  <c r="Z15" i="71"/>
  <c r="AA16" i="71"/>
  <c r="AB3" i="71"/>
  <c r="B16" i="71"/>
  <c r="B15" i="71"/>
  <c r="B14" i="71"/>
  <c r="B13" i="71"/>
  <c r="B12" i="71"/>
  <c r="B11" i="71"/>
  <c r="B10" i="71"/>
  <c r="B9" i="71"/>
  <c r="B8" i="71"/>
  <c r="B7" i="71"/>
  <c r="B6" i="71"/>
  <c r="B5" i="71"/>
  <c r="X16" i="71"/>
  <c r="AB16" i="71"/>
  <c r="Y3" i="71"/>
  <c r="Z3" i="71"/>
  <c r="D16" i="71"/>
  <c r="F16" i="71"/>
  <c r="F15" i="71"/>
  <c r="F14" i="71"/>
  <c r="F13" i="71"/>
  <c r="F12" i="71"/>
  <c r="F11" i="71"/>
  <c r="F10" i="71"/>
  <c r="F9" i="71"/>
  <c r="F8" i="71"/>
  <c r="F7" i="71"/>
  <c r="F6" i="71"/>
  <c r="F5" i="71"/>
  <c r="AF3" i="71"/>
  <c r="P26" i="43"/>
  <c r="D9" i="69"/>
  <c r="C9" i="69"/>
  <c r="C36" i="69"/>
  <c r="H26" i="43"/>
  <c r="F31" i="15"/>
  <c r="G16" i="1"/>
  <c r="F10" i="39"/>
  <c r="S10" i="39"/>
  <c r="H16" i="1"/>
  <c r="P6" i="1"/>
  <c r="C13" i="12"/>
  <c r="E59" i="40"/>
  <c r="E69" i="3"/>
  <c r="E189" i="3"/>
  <c r="E215" i="3"/>
  <c r="E335" i="3"/>
  <c r="E387" i="3"/>
  <c r="AB6" i="3"/>
  <c r="M6" i="3"/>
  <c r="K6" i="3"/>
  <c r="U6" i="3"/>
  <c r="W6" i="3"/>
  <c r="Y6" i="3"/>
  <c r="H6" i="3"/>
  <c r="E570" i="3"/>
  <c r="E514" i="3"/>
  <c r="E311" i="3"/>
  <c r="E201" i="3"/>
  <c r="E247" i="3"/>
  <c r="E431" i="3"/>
  <c r="E579" i="3"/>
  <c r="E509" i="3"/>
  <c r="AJ6" i="3"/>
  <c r="E322" i="3"/>
  <c r="E268" i="3"/>
  <c r="E526" i="3"/>
  <c r="E217" i="3"/>
  <c r="E44" i="3"/>
  <c r="E334" i="3"/>
  <c r="E273" i="3"/>
  <c r="E186" i="3"/>
  <c r="E121" i="3"/>
  <c r="E28" i="3"/>
  <c r="E476" i="3"/>
  <c r="E581" i="3"/>
  <c r="E345" i="3"/>
  <c r="E414" i="3"/>
  <c r="E448" i="3"/>
  <c r="Z6" i="3"/>
  <c r="E164" i="3"/>
  <c r="E236" i="3"/>
  <c r="E32" i="3"/>
  <c r="E394" i="3"/>
  <c r="E256" i="3"/>
  <c r="E73" i="3"/>
  <c r="E496" i="3"/>
  <c r="AE6" i="3"/>
  <c r="E424" i="3"/>
  <c r="E437" i="3"/>
  <c r="E330" i="3"/>
  <c r="E120" i="3"/>
  <c r="E128" i="3"/>
  <c r="E238" i="3"/>
  <c r="N94" i="46"/>
  <c r="J26" i="43"/>
  <c r="E30" i="3"/>
  <c r="E377" i="3"/>
  <c r="E210" i="3"/>
  <c r="E166" i="3"/>
  <c r="E70" i="3"/>
  <c r="E447" i="3"/>
  <c r="E444" i="3"/>
  <c r="E557" i="3"/>
  <c r="E477" i="3"/>
  <c r="P6" i="3"/>
  <c r="AO6" i="3"/>
  <c r="E585" i="3"/>
  <c r="E271" i="3"/>
  <c r="E549" i="3"/>
  <c r="E31" i="3"/>
  <c r="E351" i="3"/>
  <c r="E150" i="3"/>
  <c r="E72" i="3"/>
  <c r="E450" i="3"/>
  <c r="E562" i="3"/>
  <c r="E527" i="3"/>
  <c r="E573" i="3"/>
  <c r="E193" i="3"/>
  <c r="E99" i="3"/>
  <c r="E314" i="3"/>
  <c r="E453" i="3"/>
  <c r="N370" i="46"/>
  <c r="E29" i="3"/>
  <c r="AM6" i="3"/>
  <c r="E317" i="3"/>
  <c r="E291" i="3"/>
  <c r="E272" i="3"/>
  <c r="E126" i="3"/>
  <c r="E92" i="3"/>
  <c r="E71" i="3"/>
  <c r="E546" i="3"/>
  <c r="E403" i="3"/>
  <c r="E547" i="3"/>
  <c r="E367" i="3"/>
  <c r="E432" i="3"/>
  <c r="E548" i="3"/>
  <c r="E411" i="3"/>
  <c r="E379" i="3"/>
  <c r="E145" i="3"/>
  <c r="E207" i="3"/>
  <c r="E196" i="3"/>
  <c r="E397" i="3"/>
  <c r="E93" i="3"/>
  <c r="E14" i="3"/>
  <c r="E357" i="3"/>
  <c r="E257" i="3"/>
  <c r="E208" i="3"/>
  <c r="E168" i="3"/>
  <c r="E54" i="3"/>
  <c r="E475" i="3"/>
  <c r="E471" i="3"/>
  <c r="E537" i="3"/>
  <c r="E288" i="3"/>
  <c r="E438" i="3"/>
  <c r="E474" i="3"/>
  <c r="E529" i="3"/>
  <c r="E532" i="3"/>
  <c r="E313" i="3"/>
  <c r="E224" i="3"/>
  <c r="E157" i="3"/>
  <c r="E306" i="3"/>
  <c r="E352" i="3"/>
  <c r="E136" i="3"/>
  <c r="E461" i="3"/>
  <c r="E122" i="3"/>
  <c r="K16" i="1"/>
  <c r="E327" i="3"/>
  <c r="E204" i="3"/>
  <c r="E89" i="3"/>
  <c r="E368" i="3"/>
  <c r="E227" i="3"/>
  <c r="E74" i="3"/>
  <c r="E362" i="3"/>
  <c r="E315" i="3"/>
  <c r="E214" i="3"/>
  <c r="E171" i="3"/>
  <c r="E146" i="3"/>
  <c r="E106" i="3"/>
  <c r="E454" i="3"/>
  <c r="E468" i="3"/>
  <c r="E577" i="3"/>
  <c r="E587" i="3"/>
  <c r="E465" i="3"/>
  <c r="E406" i="3"/>
  <c r="E472" i="3"/>
  <c r="E560" i="3"/>
  <c r="E133" i="3"/>
  <c r="E277" i="3"/>
  <c r="E228" i="3"/>
  <c r="AK6" i="3"/>
  <c r="E545" i="3"/>
  <c r="E181" i="3"/>
  <c r="E568" i="3"/>
  <c r="E77" i="3"/>
  <c r="E510" i="3"/>
  <c r="E205" i="3"/>
  <c r="E296" i="3"/>
  <c r="E140" i="3"/>
  <c r="E197" i="3"/>
  <c r="E173" i="3"/>
  <c r="E369" i="3"/>
  <c r="E525" i="3"/>
  <c r="E534" i="3"/>
  <c r="T6" i="3"/>
  <c r="E405" i="3"/>
  <c r="E456" i="3"/>
  <c r="E469" i="3"/>
  <c r="E512" i="3"/>
  <c r="E408" i="3"/>
  <c r="E451" i="3"/>
  <c r="E360" i="3"/>
  <c r="E556" i="3"/>
  <c r="E497" i="3"/>
  <c r="E494" i="3"/>
  <c r="E452" i="3"/>
  <c r="E470" i="3"/>
  <c r="E420" i="3"/>
  <c r="E26" i="3"/>
  <c r="E104" i="3"/>
  <c r="E41" i="3"/>
  <c r="E115" i="3"/>
  <c r="E198" i="3"/>
  <c r="E139" i="3"/>
  <c r="E225" i="3"/>
  <c r="E281" i="3"/>
  <c r="E243" i="3"/>
  <c r="E332" i="3"/>
  <c r="E391" i="3"/>
  <c r="E356" i="3"/>
  <c r="E165" i="3"/>
  <c r="E244" i="3"/>
  <c r="E149" i="3"/>
  <c r="E167" i="3"/>
  <c r="E141" i="3"/>
  <c r="E312" i="3"/>
  <c r="AD6" i="3"/>
  <c r="E542" i="3"/>
  <c r="E552" i="3"/>
  <c r="E421" i="3"/>
  <c r="E464" i="3"/>
  <c r="E487" i="3"/>
  <c r="E398" i="3"/>
  <c r="E416" i="3"/>
  <c r="E459" i="3"/>
  <c r="E374"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E51" i="3"/>
  <c r="E19" i="3"/>
  <c r="E154" i="3"/>
  <c r="E179" i="3"/>
  <c r="E222" i="3"/>
  <c r="E323" i="3"/>
  <c r="E373" i="3"/>
  <c r="E82" i="3"/>
  <c r="E108" i="3"/>
  <c r="E226" i="3"/>
  <c r="E346" i="3"/>
  <c r="E333" i="3"/>
  <c r="L6" i="3"/>
  <c r="E60" i="3"/>
  <c r="E540" i="3"/>
  <c r="E473" i="3"/>
  <c r="E455" i="3"/>
  <c r="E38" i="3"/>
  <c r="E100" i="3"/>
  <c r="E137" i="3"/>
  <c r="E234"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78" i="3"/>
  <c r="E119" i="3"/>
  <c r="E202" i="3"/>
  <c r="E242" i="3"/>
  <c r="E276" i="3"/>
  <c r="E372" i="3"/>
  <c r="E43" i="3"/>
  <c r="E15" i="3"/>
  <c r="E79" i="3"/>
  <c r="E170" i="3"/>
  <c r="E194" i="3"/>
  <c r="E539" i="3"/>
  <c r="E199" i="3"/>
  <c r="R6" i="3"/>
  <c r="E541" i="3"/>
  <c r="I3" i="6"/>
  <c r="E435" i="3"/>
  <c r="E56" i="3"/>
  <c r="E132" i="3"/>
  <c r="E292" i="3"/>
  <c r="AL6" i="3"/>
  <c r="E94" i="3"/>
  <c r="E428" i="3"/>
  <c r="E412" i="3"/>
  <c r="E96" i="3"/>
  <c r="E129" i="3"/>
  <c r="E174" i="3"/>
  <c r="E275" i="3"/>
  <c r="E299" i="3"/>
  <c r="E371" i="3"/>
  <c r="E342" i="3"/>
  <c r="AQ6" i="3"/>
  <c r="E84" i="3"/>
  <c r="E34" i="3"/>
  <c r="E123" i="3"/>
  <c r="E184" i="3"/>
  <c r="E251" i="3"/>
  <c r="E364" i="3"/>
  <c r="E68" i="3"/>
  <c r="E80" i="3"/>
  <c r="E176" i="3"/>
  <c r="E264" i="3"/>
  <c r="E308" i="3"/>
  <c r="E524" i="3"/>
  <c r="E21" i="3"/>
  <c r="E536" i="3"/>
  <c r="E286" i="3"/>
  <c r="E502" i="3"/>
  <c r="E430" i="3"/>
  <c r="AP6" i="3"/>
  <c r="E491" i="3"/>
  <c r="E37" i="3"/>
  <c r="E192" i="3"/>
  <c r="E363" i="3"/>
  <c r="E544" i="3"/>
  <c r="E59" i="3"/>
  <c r="E484" i="3"/>
  <c r="E467" i="3"/>
  <c r="E46" i="3"/>
  <c r="E160" i="3"/>
  <c r="E200" i="3"/>
  <c r="E219" i="3"/>
  <c r="E300" i="3"/>
  <c r="E383" i="3"/>
  <c r="E392" i="3"/>
  <c r="E23" i="3"/>
  <c r="E86" i="3"/>
  <c r="E112" i="3"/>
  <c r="E144" i="3"/>
  <c r="E232" i="3"/>
  <c r="E340" i="3"/>
  <c r="E381" i="3"/>
  <c r="E102" i="3"/>
  <c r="E62" i="3"/>
  <c r="E118" i="3"/>
  <c r="E287" i="3"/>
  <c r="E365" i="3"/>
  <c r="E513" i="3"/>
  <c r="E83" i="3"/>
  <c r="E324" i="3"/>
  <c r="E466" i="3"/>
  <c r="E479" i="3"/>
  <c r="E241" i="3"/>
  <c r="E76" i="3"/>
  <c r="E425" i="3"/>
  <c r="E103" i="3"/>
  <c r="E267" i="3"/>
  <c r="E339" i="3"/>
  <c r="E52" i="3"/>
  <c r="E49" i="3"/>
  <c r="E233" i="3"/>
  <c r="E50" i="3"/>
  <c r="E113" i="3"/>
  <c r="E218" i="3"/>
  <c r="E326" i="3"/>
  <c r="E148" i="3"/>
  <c r="E575" i="3"/>
  <c r="E442" i="3"/>
  <c r="E449" i="3"/>
  <c r="E554" i="3"/>
  <c r="E417" i="3"/>
  <c r="E95" i="3"/>
  <c r="E258" i="3"/>
  <c r="E349" i="3"/>
  <c r="E42" i="3"/>
  <c r="E75" i="3"/>
  <c r="E482" i="3"/>
  <c r="E18" i="3"/>
  <c r="E78" i="3"/>
  <c r="E190" i="3"/>
  <c r="E220" i="3"/>
  <c r="E249" i="3"/>
  <c r="E325" i="3"/>
  <c r="E492" i="3"/>
  <c r="E35" i="3"/>
  <c r="E36" i="3"/>
  <c r="E33" i="3"/>
  <c r="E206" i="3"/>
  <c r="E289" i="3"/>
  <c r="E355" i="3"/>
  <c r="AF6" i="3"/>
  <c r="AC6" i="3"/>
  <c r="E20" i="3"/>
  <c r="E81" i="3"/>
  <c r="E158" i="3"/>
  <c r="E265" i="3"/>
  <c r="E309" i="3"/>
  <c r="E22" i="3"/>
  <c r="E212" i="3"/>
  <c r="E499" i="3"/>
  <c r="E255" i="3"/>
  <c r="E517" i="3"/>
  <c r="E152" i="3"/>
  <c r="E389" i="3"/>
  <c r="E409" i="3"/>
  <c r="E64" i="3"/>
  <c r="E142" i="3"/>
  <c r="E235" i="3"/>
  <c r="E310" i="3"/>
  <c r="E522" i="3"/>
  <c r="E67" i="3"/>
  <c r="E147" i="3"/>
  <c r="E370" i="3"/>
  <c r="E63" i="3"/>
  <c r="E283" i="3"/>
  <c r="E101" i="3"/>
  <c r="D18" i="53"/>
  <c r="B35" i="72"/>
  <c r="B7" i="74"/>
  <c r="C7" i="74"/>
  <c r="E61" i="43"/>
  <c r="B59" i="43"/>
  <c r="B116" i="43"/>
  <c r="Z7" i="43"/>
  <c r="E30" i="6"/>
  <c r="E56" i="39"/>
  <c r="H7" i="34"/>
  <c r="AB7" i="34"/>
  <c r="T49" i="34"/>
  <c r="G49" i="34"/>
  <c r="E67" i="39"/>
  <c r="J7" i="34"/>
  <c r="W7" i="34"/>
  <c r="F7" i="34"/>
  <c r="S7" i="34"/>
  <c r="AA26" i="35"/>
  <c r="S26" i="35"/>
  <c r="AC26" i="35"/>
  <c r="W26" i="35"/>
  <c r="AB26" i="35"/>
  <c r="U26" i="35"/>
  <c r="E61" i="39"/>
  <c r="E56" i="40"/>
  <c r="E72" i="43"/>
  <c r="B70" i="43"/>
  <c r="F27" i="11"/>
  <c r="C29" i="11"/>
  <c r="D27" i="11"/>
  <c r="F28" i="12"/>
  <c r="C29" i="12"/>
  <c r="D28" i="12"/>
  <c r="E60" i="40"/>
  <c r="K26" i="6"/>
  <c r="M26" i="6"/>
  <c r="I26" i="6"/>
  <c r="S26" i="6"/>
  <c r="F31" i="6"/>
  <c r="E51" i="40"/>
  <c r="E16" i="6"/>
  <c r="E58" i="40"/>
  <c r="E62" i="39"/>
  <c r="J10" i="40"/>
  <c r="AC10" i="40"/>
  <c r="C7" i="43"/>
  <c r="D10" i="52"/>
  <c r="D125" i="9"/>
  <c r="D11" i="52"/>
  <c r="F67" i="39"/>
  <c r="E69" i="39"/>
  <c r="F59" i="67"/>
  <c r="H7" i="37"/>
  <c r="AB7" i="37"/>
  <c r="T42" i="37"/>
  <c r="G42" i="37"/>
  <c r="H7" i="33"/>
  <c r="J7" i="33"/>
  <c r="D65" i="40"/>
  <c r="E63" i="40"/>
  <c r="F48" i="35"/>
  <c r="S7" i="36"/>
  <c r="AA7" i="36"/>
  <c r="R36" i="36"/>
  <c r="AC7" i="37"/>
  <c r="V42" i="37"/>
  <c r="I42" i="37"/>
  <c r="W7" i="37"/>
  <c r="AB7" i="36"/>
  <c r="T36" i="36"/>
  <c r="G36" i="36"/>
  <c r="U7" i="36"/>
  <c r="F7" i="33"/>
  <c r="E58" i="21"/>
  <c r="AC7" i="36"/>
  <c r="V36" i="36"/>
  <c r="I36" i="36"/>
  <c r="W7" i="36"/>
  <c r="F7" i="37"/>
  <c r="D14" i="71"/>
  <c r="C13" i="71"/>
  <c r="M17" i="67"/>
  <c r="M17" i="15"/>
  <c r="P28" i="43"/>
  <c r="B66" i="40"/>
  <c r="P25" i="43"/>
  <c r="P29" i="43"/>
  <c r="P27" i="43"/>
  <c r="B70" i="39"/>
  <c r="AE11" i="1"/>
  <c r="AE9" i="1"/>
  <c r="F45" i="68"/>
  <c r="AE8" i="1"/>
  <c r="AE12" i="1"/>
  <c r="AE10" i="1"/>
  <c r="F59" i="15"/>
  <c r="H10" i="40"/>
  <c r="AB10" i="40"/>
  <c r="AA10" i="39"/>
  <c r="F10" i="40"/>
  <c r="S10" i="40"/>
  <c r="J10" i="39"/>
  <c r="W10" i="39"/>
  <c r="H10" i="39"/>
  <c r="U10" i="39"/>
  <c r="E65" i="39"/>
  <c r="AC7" i="34"/>
  <c r="V49" i="34"/>
  <c r="I49" i="34"/>
  <c r="I53" i="34"/>
  <c r="J53" i="34"/>
  <c r="U7" i="34"/>
  <c r="AA7" i="34"/>
  <c r="R49" i="34"/>
  <c r="I122" i="43"/>
  <c r="J122" i="43"/>
  <c r="K122" i="43"/>
  <c r="L122" i="43"/>
  <c r="M122" i="43"/>
  <c r="I121" i="43"/>
  <c r="J121" i="43"/>
  <c r="K121" i="43"/>
  <c r="L121" i="43"/>
  <c r="M121" i="43"/>
  <c r="D119" i="43"/>
  <c r="E119" i="43"/>
  <c r="F119" i="43"/>
  <c r="G119" i="43"/>
  <c r="H119" i="43"/>
  <c r="B119" i="43"/>
  <c r="C119" i="43"/>
  <c r="G121" i="43"/>
  <c r="H121" i="43"/>
  <c r="I120" i="43"/>
  <c r="J120" i="43"/>
  <c r="K120" i="43"/>
  <c r="L120" i="43"/>
  <c r="M120" i="43"/>
  <c r="D120" i="43"/>
  <c r="E120" i="43"/>
  <c r="F120" i="43"/>
  <c r="G120" i="43"/>
  <c r="H120" i="43"/>
  <c r="B120" i="43"/>
  <c r="C120" i="43"/>
  <c r="I119" i="43"/>
  <c r="J119" i="43"/>
  <c r="K119" i="43"/>
  <c r="L119" i="43"/>
  <c r="M119" i="43"/>
  <c r="I118" i="43"/>
  <c r="J118" i="43"/>
  <c r="K118" i="43"/>
  <c r="L118" i="43"/>
  <c r="M118" i="43"/>
  <c r="D121" i="43"/>
  <c r="E121" i="43"/>
  <c r="F121" i="43"/>
  <c r="B121" i="43"/>
  <c r="C121" i="43"/>
  <c r="D122" i="43"/>
  <c r="E122" i="43"/>
  <c r="F122" i="43"/>
  <c r="G122" i="43"/>
  <c r="H122" i="43"/>
  <c r="D118" i="43"/>
  <c r="E118" i="43"/>
  <c r="F118" i="43"/>
  <c r="G118" i="43"/>
  <c r="H118" i="43"/>
  <c r="B118" i="43"/>
  <c r="C118" i="43"/>
  <c r="B122" i="43"/>
  <c r="C122" i="43"/>
  <c r="AG11" i="1"/>
  <c r="AG9" i="1"/>
  <c r="AG10" i="1"/>
  <c r="AG8" i="1"/>
  <c r="AG12" i="1"/>
  <c r="AG6" i="1"/>
  <c r="C47" i="11"/>
  <c r="D45" i="11"/>
  <c r="E6" i="3"/>
  <c r="T15" i="43"/>
  <c r="V15" i="43"/>
  <c r="T13" i="43"/>
  <c r="V13" i="43"/>
  <c r="T11" i="43"/>
  <c r="V11" i="43"/>
  <c r="T9" i="43"/>
  <c r="V9" i="43"/>
  <c r="T7" i="43"/>
  <c r="V7" i="43"/>
  <c r="T16" i="43"/>
  <c r="V16" i="43"/>
  <c r="T14" i="43"/>
  <c r="V14" i="43"/>
  <c r="T12" i="43"/>
  <c r="V12" i="43"/>
  <c r="T10" i="43"/>
  <c r="V10" i="43"/>
  <c r="T8" i="43"/>
  <c r="V8" i="43"/>
  <c r="T4" i="43"/>
  <c r="V4" i="43"/>
  <c r="T3" i="43"/>
  <c r="V3" i="43"/>
  <c r="T2" i="43"/>
  <c r="V2" i="43"/>
  <c r="T6" i="43"/>
  <c r="V6" i="43"/>
  <c r="T5" i="43"/>
  <c r="V5" i="43"/>
  <c r="K21" i="6"/>
  <c r="S8" i="1"/>
  <c r="E8" i="70"/>
  <c r="K25" i="6"/>
  <c r="K23" i="6"/>
  <c r="K22" i="6"/>
  <c r="E31" i="6"/>
  <c r="K24" i="6"/>
  <c r="O14" i="1"/>
  <c r="O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D17" i="12"/>
  <c r="C17" i="12"/>
  <c r="B1" i="74"/>
  <c r="D3" i="34"/>
  <c r="D19" i="11"/>
  <c r="C19" i="11"/>
  <c r="L18" i="9"/>
  <c r="C17" i="4"/>
  <c r="B4" i="52"/>
  <c r="B43" i="72"/>
  <c r="D3" i="33"/>
  <c r="D3" i="37"/>
  <c r="AA10" i="40"/>
  <c r="W10" i="40"/>
  <c r="AC10" i="39"/>
  <c r="U7" i="37"/>
  <c r="G67" i="39"/>
  <c r="F69" i="39"/>
  <c r="F58" i="21"/>
  <c r="R37" i="36"/>
  <c r="E36" i="36"/>
  <c r="F63" i="40"/>
  <c r="E65" i="40"/>
  <c r="W7" i="33"/>
  <c r="AC7" i="33"/>
  <c r="V48" i="33"/>
  <c r="I48" i="33"/>
  <c r="AA7" i="37"/>
  <c r="R42" i="37"/>
  <c r="S7" i="37"/>
  <c r="I40" i="36"/>
  <c r="J40" i="36"/>
  <c r="S7" i="33"/>
  <c r="AA7" i="33"/>
  <c r="R48" i="33"/>
  <c r="E49" i="34"/>
  <c r="G53" i="34"/>
  <c r="H53" i="34"/>
  <c r="G40" i="36"/>
  <c r="H40" i="36"/>
  <c r="G41" i="36"/>
  <c r="H41" i="36"/>
  <c r="G46" i="37"/>
  <c r="H46" i="37"/>
  <c r="G47" i="37"/>
  <c r="H47" i="37"/>
  <c r="I46" i="37"/>
  <c r="J46" i="37"/>
  <c r="G48" i="35"/>
  <c r="U7" i="33"/>
  <c r="AB7" i="33"/>
  <c r="T48" i="33"/>
  <c r="G48" i="33"/>
  <c r="D13" i="71"/>
  <c r="C12" i="71"/>
  <c r="C11" i="71"/>
  <c r="R50" i="34"/>
  <c r="C49" i="34"/>
  <c r="G54" i="34"/>
  <c r="H54" i="34"/>
  <c r="U10" i="40"/>
  <c r="AB10" i="39"/>
  <c r="D116" i="43"/>
  <c r="M21" i="6"/>
  <c r="I21" i="6"/>
  <c r="S21" i="6"/>
  <c r="E6" i="70"/>
  <c r="E34" i="43"/>
  <c r="M24" i="6"/>
  <c r="I24" i="6"/>
  <c r="S24" i="6"/>
  <c r="S11" i="1"/>
  <c r="E11" i="70"/>
  <c r="M22" i="6"/>
  <c r="I22" i="6"/>
  <c r="S22" i="6"/>
  <c r="S9" i="1"/>
  <c r="AQ8" i="1"/>
  <c r="T8" i="1"/>
  <c r="AR8" i="1"/>
  <c r="S20" i="6"/>
  <c r="E7" i="70"/>
  <c r="AQ6" i="1"/>
  <c r="AR6" i="1"/>
  <c r="M23" i="6"/>
  <c r="I23" i="6"/>
  <c r="S23" i="6"/>
  <c r="S10" i="1"/>
  <c r="E10" i="70"/>
  <c r="M25" i="6"/>
  <c r="I25" i="6"/>
  <c r="S25" i="6"/>
  <c r="S12" i="1"/>
  <c r="K27" i="6"/>
  <c r="C20" i="11"/>
  <c r="C28" i="11"/>
  <c r="C27" i="11"/>
  <c r="D10" i="11"/>
  <c r="C10" i="11"/>
  <c r="D20" i="12"/>
  <c r="C20" i="12"/>
  <c r="D25" i="6"/>
  <c r="D15" i="6"/>
  <c r="D22" i="6"/>
  <c r="D21" i="6"/>
  <c r="D24" i="6"/>
  <c r="M19" i="9"/>
  <c r="C118" i="9"/>
  <c r="B2" i="74"/>
  <c r="D26" i="6"/>
  <c r="D8" i="6"/>
  <c r="D14" i="6"/>
  <c r="D6" i="6"/>
  <c r="D9" i="6"/>
  <c r="D10" i="6"/>
  <c r="L19" i="9"/>
  <c r="D29" i="6"/>
  <c r="H22" i="6"/>
  <c r="H21" i="6"/>
  <c r="H24" i="6"/>
  <c r="C18" i="4"/>
  <c r="D23" i="6"/>
  <c r="D5" i="6"/>
  <c r="D12" i="6"/>
  <c r="D11" i="6"/>
  <c r="D13" i="6"/>
  <c r="D28" i="6"/>
  <c r="D30" i="6"/>
  <c r="E61" i="40"/>
  <c r="H26" i="6"/>
  <c r="P14" i="1"/>
  <c r="P16" i="1"/>
  <c r="C11" i="12"/>
  <c r="C15" i="12"/>
  <c r="L16" i="1"/>
  <c r="G42" i="43"/>
  <c r="I42" i="43"/>
  <c r="H67" i="39"/>
  <c r="G69" i="39"/>
  <c r="G41" i="43"/>
  <c r="I41" i="43"/>
  <c r="G37" i="43"/>
  <c r="I37" i="43"/>
  <c r="G38" i="43"/>
  <c r="I38" i="43"/>
  <c r="G40" i="43"/>
  <c r="I40" i="43"/>
  <c r="G39" i="43"/>
  <c r="I39" i="43"/>
  <c r="D11" i="71"/>
  <c r="C10" i="71"/>
  <c r="E54" i="34"/>
  <c r="F54" i="34"/>
  <c r="E53" i="34"/>
  <c r="F53" i="34"/>
  <c r="R49" i="33"/>
  <c r="E48" i="33"/>
  <c r="I53" i="33"/>
  <c r="J53" i="33"/>
  <c r="I52" i="33"/>
  <c r="J52" i="33"/>
  <c r="E40" i="36"/>
  <c r="F40" i="36"/>
  <c r="E41" i="36"/>
  <c r="F41" i="36"/>
  <c r="I54" i="34"/>
  <c r="J54" i="34"/>
  <c r="G52" i="33"/>
  <c r="H52" i="33"/>
  <c r="G53" i="33"/>
  <c r="H53" i="33"/>
  <c r="H48" i="35"/>
  <c r="C50" i="34"/>
  <c r="I41" i="36"/>
  <c r="J41" i="36"/>
  <c r="R43" i="37"/>
  <c r="E42" i="37"/>
  <c r="G63" i="40"/>
  <c r="F65" i="40"/>
  <c r="C37" i="36"/>
  <c r="C36" i="36"/>
  <c r="G58" i="21"/>
  <c r="D12" i="71"/>
  <c r="D10" i="69"/>
  <c r="C10" i="69"/>
  <c r="C34" i="69"/>
  <c r="B29" i="1"/>
  <c r="H25" i="6"/>
  <c r="H23" i="6"/>
  <c r="R23" i="6"/>
  <c r="R10" i="1"/>
  <c r="C31" i="43"/>
  <c r="C38" i="69"/>
  <c r="C35" i="69"/>
  <c r="E12" i="70"/>
  <c r="F34" i="11"/>
  <c r="F11" i="12"/>
  <c r="S16" i="1"/>
  <c r="E9" i="70"/>
  <c r="E2" i="70"/>
  <c r="AR9" i="1"/>
  <c r="AQ9" i="1"/>
  <c r="T9" i="1"/>
  <c r="AQ11" i="1"/>
  <c r="AR11" i="1"/>
  <c r="T11" i="1"/>
  <c r="AR12" i="1"/>
  <c r="T12" i="1"/>
  <c r="AQ12" i="1"/>
  <c r="AQ10" i="1"/>
  <c r="T10" i="1"/>
  <c r="AR10" i="1"/>
  <c r="AR7" i="1"/>
  <c r="AQ7" i="1"/>
  <c r="M27" i="6"/>
  <c r="D16" i="6"/>
  <c r="R26" i="6"/>
  <c r="R24" i="6"/>
  <c r="R11" i="1"/>
  <c r="R22" i="6"/>
  <c r="R9" i="1"/>
  <c r="D27" i="6"/>
  <c r="D31" i="6"/>
  <c r="D8" i="74"/>
  <c r="D7" i="74"/>
  <c r="R21" i="6"/>
  <c r="R8" i="1"/>
  <c r="F50" i="69"/>
  <c r="F50" i="11"/>
  <c r="C4" i="52"/>
  <c r="B45" i="72"/>
  <c r="A10" i="51"/>
  <c r="B9" i="72"/>
  <c r="A7" i="51"/>
  <c r="B7" i="72"/>
  <c r="R25" i="6"/>
  <c r="R12" i="1"/>
  <c r="H69" i="39"/>
  <c r="I67" i="39"/>
  <c r="D10" i="71"/>
  <c r="C9" i="71"/>
  <c r="C8" i="71"/>
  <c r="G65" i="40"/>
  <c r="H63" i="40"/>
  <c r="C43" i="37"/>
  <c r="C42" i="37"/>
  <c r="I48" i="35"/>
  <c r="C48" i="33"/>
  <c r="R24" i="31"/>
  <c r="C49" i="33"/>
  <c r="H58" i="21"/>
  <c r="E47" i="37"/>
  <c r="F47" i="37"/>
  <c r="E46" i="37"/>
  <c r="F46" i="37"/>
  <c r="I47" i="37"/>
  <c r="J47" i="37"/>
  <c r="E53" i="33"/>
  <c r="F53" i="33"/>
  <c r="E52" i="33"/>
  <c r="F52" i="33"/>
  <c r="S24" i="31"/>
  <c r="R27" i="31"/>
  <c r="S27" i="31"/>
  <c r="R26" i="31"/>
  <c r="S26" i="31"/>
  <c r="R25" i="31"/>
  <c r="S25" i="31"/>
  <c r="B3" i="43"/>
  <c r="D8" i="71"/>
  <c r="C7" i="71"/>
  <c r="T16" i="1"/>
  <c r="C36" i="11"/>
  <c r="C37" i="11"/>
  <c r="C34" i="11"/>
  <c r="C23" i="12"/>
  <c r="S19" i="6"/>
  <c r="S27" i="6"/>
  <c r="I27" i="6"/>
  <c r="C19" i="68"/>
  <c r="I5" i="6"/>
  <c r="I6" i="6"/>
  <c r="I69" i="39"/>
  <c r="J67" i="39"/>
  <c r="D9" i="71"/>
  <c r="I63" i="40"/>
  <c r="H65" i="40"/>
  <c r="I58" i="21"/>
  <c r="J58" i="21"/>
  <c r="K58" i="21"/>
  <c r="L58" i="21"/>
  <c r="M58" i="21"/>
  <c r="N58" i="21"/>
  <c r="O58" i="21"/>
  <c r="H7" i="21"/>
  <c r="J48" i="35"/>
  <c r="S22" i="31"/>
  <c r="F7" i="21"/>
  <c r="S7" i="21"/>
  <c r="J7" i="21"/>
  <c r="AC7" i="21"/>
  <c r="V48" i="21"/>
  <c r="I48" i="21"/>
  <c r="D7" i="71"/>
  <c r="C6" i="71"/>
  <c r="C38" i="11"/>
  <c r="C35" i="11"/>
  <c r="H27" i="6"/>
  <c r="J69" i="39"/>
  <c r="K67" i="39"/>
  <c r="U7" i="21"/>
  <c r="AB7" i="21"/>
  <c r="T48" i="21"/>
  <c r="G48" i="21"/>
  <c r="J63" i="40"/>
  <c r="I65" i="40"/>
  <c r="K48" i="35"/>
  <c r="L48" i="35"/>
  <c r="M48" i="35"/>
  <c r="N48" i="35"/>
  <c r="O48" i="35"/>
  <c r="H7" i="35"/>
  <c r="W7" i="21"/>
  <c r="R22" i="31"/>
  <c r="B20" i="31"/>
  <c r="B21" i="31"/>
  <c r="AA7" i="21"/>
  <c r="R48" i="21"/>
  <c r="R49" i="21"/>
  <c r="J7" i="35"/>
  <c r="D6" i="71"/>
  <c r="C5" i="71"/>
  <c r="C33" i="11"/>
  <c r="C39" i="11"/>
  <c r="R27" i="6"/>
  <c r="L67" i="39"/>
  <c r="K69" i="39"/>
  <c r="W7" i="35"/>
  <c r="AC7" i="35"/>
  <c r="V38" i="35"/>
  <c r="I38" i="35"/>
  <c r="J65" i="40"/>
  <c r="K63" i="40"/>
  <c r="I52" i="21"/>
  <c r="J52" i="21"/>
  <c r="U7" i="35"/>
  <c r="AB7" i="35"/>
  <c r="T38" i="35"/>
  <c r="G38" i="35"/>
  <c r="E48" i="21"/>
  <c r="G52" i="21"/>
  <c r="H52" i="21"/>
  <c r="G53" i="21"/>
  <c r="H53" i="21"/>
  <c r="F7" i="35"/>
  <c r="D5" i="71"/>
  <c r="M24" i="43"/>
  <c r="C46" i="11"/>
  <c r="C45" i="11"/>
  <c r="L69" i="39"/>
  <c r="M67" i="39"/>
  <c r="S7" i="35"/>
  <c r="AA7" i="35"/>
  <c r="R38" i="35"/>
  <c r="C49" i="21"/>
  <c r="C48" i="21"/>
  <c r="E52" i="21"/>
  <c r="F52" i="21"/>
  <c r="E53" i="21"/>
  <c r="F53" i="21"/>
  <c r="G42" i="35"/>
  <c r="H42" i="35"/>
  <c r="G43" i="35"/>
  <c r="H43" i="35"/>
  <c r="I53" i="21"/>
  <c r="J53" i="21"/>
  <c r="K65" i="40"/>
  <c r="L63" i="40"/>
  <c r="I42" i="35"/>
  <c r="J42" i="35"/>
  <c r="M69" i="39"/>
  <c r="N67" i="39"/>
  <c r="R39" i="35"/>
  <c r="E38" i="35"/>
  <c r="M63" i="40"/>
  <c r="L65" i="40"/>
  <c r="B2" i="21"/>
  <c r="B3" i="21"/>
  <c r="O67" i="39"/>
  <c r="O69" i="39"/>
  <c r="N69" i="39"/>
  <c r="F7" i="39"/>
  <c r="C39" i="35"/>
  <c r="C38" i="35"/>
  <c r="N63" i="40"/>
  <c r="M65" i="40"/>
  <c r="E43" i="35"/>
  <c r="F43" i="35"/>
  <c r="E42" i="35"/>
  <c r="F42" i="35"/>
  <c r="I43" i="35"/>
  <c r="J43" i="35"/>
  <c r="B2" i="33"/>
  <c r="H7" i="39"/>
  <c r="J7" i="39"/>
  <c r="S7" i="39"/>
  <c r="AA7" i="39"/>
  <c r="R47" i="39"/>
  <c r="O63" i="40"/>
  <c r="O65" i="40"/>
  <c r="N65" i="40"/>
  <c r="B3" i="33"/>
  <c r="B2" i="36"/>
  <c r="B3" i="36"/>
  <c r="B2" i="35"/>
  <c r="B3" i="35"/>
  <c r="B2" i="37"/>
  <c r="B3" i="37"/>
  <c r="B2" i="34"/>
  <c r="W7" i="39"/>
  <c r="AC7" i="39"/>
  <c r="V47" i="39"/>
  <c r="I47" i="39"/>
  <c r="E47" i="39"/>
  <c r="R48" i="39"/>
  <c r="U7" i="39"/>
  <c r="AB7" i="39"/>
  <c r="T47" i="39"/>
  <c r="G47" i="39"/>
  <c r="J7" i="40"/>
  <c r="F7" i="40"/>
  <c r="H7" i="40"/>
  <c r="B3" i="34"/>
  <c r="G51" i="39"/>
  <c r="H51" i="39"/>
  <c r="G52" i="39"/>
  <c r="H52" i="39"/>
  <c r="I51" i="39"/>
  <c r="J51" i="39"/>
  <c r="I52" i="39"/>
  <c r="J52" i="39"/>
  <c r="C48" i="39"/>
  <c r="C47" i="39"/>
  <c r="E52" i="39"/>
  <c r="F52" i="39"/>
  <c r="E51" i="39"/>
  <c r="F51" i="39"/>
  <c r="U7" i="40"/>
  <c r="AB7" i="40"/>
  <c r="T42" i="40"/>
  <c r="G42" i="40"/>
  <c r="AA7" i="40"/>
  <c r="R42" i="40"/>
  <c r="S7" i="40"/>
  <c r="AC7" i="40"/>
  <c r="V42" i="40"/>
  <c r="I42" i="40"/>
  <c r="W7" i="40"/>
  <c r="B56" i="39"/>
  <c r="F56" i="39"/>
  <c r="F65" i="39"/>
  <c r="B2" i="39"/>
  <c r="B3" i="39"/>
  <c r="B63" i="39"/>
  <c r="F63" i="39"/>
  <c r="B64" i="39"/>
  <c r="F64" i="39"/>
  <c r="B60" i="39"/>
  <c r="F60" i="39"/>
  <c r="B61" i="39"/>
  <c r="F61" i="39"/>
  <c r="B57" i="39"/>
  <c r="F57" i="39"/>
  <c r="B58" i="39"/>
  <c r="F58" i="39"/>
  <c r="B62" i="39"/>
  <c r="F62" i="39"/>
  <c r="B59" i="39"/>
  <c r="F59" i="39"/>
  <c r="I46" i="40"/>
  <c r="J46" i="40"/>
  <c r="R43" i="40"/>
  <c r="E42" i="40"/>
  <c r="G47" i="40"/>
  <c r="H47" i="40"/>
  <c r="G46" i="40"/>
  <c r="H46" i="40"/>
  <c r="C42" i="40"/>
  <c r="C43" i="40"/>
  <c r="E47" i="40"/>
  <c r="F47" i="40"/>
  <c r="E46" i="40"/>
  <c r="F46" i="40"/>
  <c r="I47" i="40"/>
  <c r="J47" i="40"/>
  <c r="B58" i="40"/>
  <c r="F58" i="40"/>
  <c r="B54" i="40"/>
  <c r="F54" i="40"/>
  <c r="B53" i="40"/>
  <c r="F53" i="40"/>
  <c r="B59" i="40"/>
  <c r="F59" i="40"/>
  <c r="B52" i="40"/>
  <c r="F52" i="40"/>
  <c r="B56" i="40"/>
  <c r="F56" i="40"/>
  <c r="B60" i="40"/>
  <c r="F60" i="40"/>
  <c r="B57" i="40"/>
  <c r="F57" i="40"/>
  <c r="B51" i="40"/>
  <c r="F51" i="40"/>
  <c r="F61" i="40"/>
  <c r="B2" i="40"/>
  <c r="B3" i="40"/>
  <c r="E14" i="74"/>
  <c r="F14" i="74"/>
  <c r="B5" i="74"/>
  <c r="D5" i="74"/>
  <c r="B6" i="74"/>
  <c r="D6" i="74"/>
  <c r="H112" i="9"/>
  <c r="D21" i="53"/>
  <c r="B39" i="72"/>
  <c r="H111" i="9"/>
  <c r="D19" i="53"/>
  <c r="D20" i="53"/>
  <c r="B40" i="72"/>
  <c r="B38" i="72"/>
  <c r="D126" i="9"/>
  <c r="C8" i="74"/>
  <c r="D12" i="52"/>
  <c r="D127" i="9"/>
  <c r="D13" i="52"/>
  <c r="D35" i="83"/>
  <c r="F7" i="81"/>
  <c r="F16" i="81"/>
  <c r="F36" i="81"/>
  <c r="M29" i="81"/>
  <c r="F43" i="81"/>
  <c r="M24" i="81"/>
  <c r="F7" i="67"/>
  <c r="F9" i="67"/>
  <c r="B11" i="76"/>
  <c r="M23" i="67"/>
  <c r="F8" i="67"/>
  <c r="E8" i="76"/>
  <c r="F26" i="67"/>
  <c r="E11" i="76"/>
  <c r="C76" i="67"/>
  <c r="F5" i="73"/>
  <c r="B13" i="76"/>
  <c r="D4" i="73"/>
  <c r="E2" i="69"/>
  <c r="C76" i="15"/>
  <c r="M22" i="15"/>
  <c r="M29" i="15"/>
  <c r="M28" i="15"/>
  <c r="F41" i="67"/>
  <c r="M27" i="15"/>
  <c r="D35" i="82"/>
  <c r="D34" i="82"/>
  <c r="M27" i="81"/>
  <c r="C14" i="81"/>
  <c r="M26" i="81"/>
  <c r="L47" i="81"/>
  <c r="F37" i="81"/>
  <c r="M9" i="81"/>
  <c r="M28" i="81"/>
  <c r="L48" i="67"/>
  <c r="F40" i="67"/>
  <c r="M29" i="67"/>
  <c r="AO13" i="1"/>
  <c r="D3" i="73"/>
  <c r="D34" i="9"/>
  <c r="F20" i="31"/>
  <c r="F36" i="67"/>
  <c r="E9" i="76"/>
  <c r="M28" i="67"/>
  <c r="F3" i="73"/>
  <c r="F16" i="67"/>
  <c r="F13" i="67"/>
  <c r="C76" i="81"/>
  <c r="F8" i="81"/>
  <c r="F40" i="81"/>
  <c r="F42" i="81"/>
  <c r="J15" i="81"/>
  <c r="F9" i="81"/>
  <c r="M23" i="81"/>
  <c r="L47" i="67"/>
  <c r="M24" i="67"/>
  <c r="M6" i="67"/>
  <c r="F38" i="67"/>
  <c r="B7" i="76"/>
  <c r="E12" i="76"/>
  <c r="F42" i="67"/>
  <c r="D7" i="73"/>
  <c r="B9" i="76"/>
  <c r="B10" i="76"/>
  <c r="E10" i="76"/>
  <c r="F6" i="73"/>
  <c r="D35" i="9"/>
  <c r="E7" i="76"/>
  <c r="M24" i="15"/>
  <c r="D34" i="83"/>
  <c r="M8" i="81"/>
  <c r="F6" i="81"/>
  <c r="M6" i="81"/>
  <c r="F13" i="81"/>
  <c r="F38" i="81"/>
  <c r="M22" i="81"/>
  <c r="F26" i="81"/>
  <c r="E2" i="68"/>
  <c r="M26" i="67"/>
  <c r="F7" i="73"/>
  <c r="D6" i="73"/>
  <c r="J15" i="67"/>
  <c r="M22" i="67"/>
  <c r="B8" i="76"/>
  <c r="F6" i="67"/>
  <c r="F43" i="67"/>
  <c r="B12" i="76"/>
  <c r="M8" i="67"/>
  <c r="F37" i="67"/>
  <c r="M9" i="67"/>
  <c r="E13" i="76"/>
  <c r="J15" i="15"/>
  <c r="M23" i="15"/>
  <c r="B6" i="76"/>
  <c r="M21" i="81"/>
  <c r="D2" i="21"/>
  <c r="L47" i="15"/>
  <c r="F35" i="67"/>
  <c r="M21" i="15"/>
  <c r="D2" i="33"/>
  <c r="D2" i="35"/>
  <c r="D2" i="37"/>
  <c r="AO10" i="1"/>
  <c r="C19" i="82"/>
  <c r="M26" i="15"/>
  <c r="M27" i="67"/>
  <c r="C19" i="83"/>
  <c r="AO9" i="1"/>
  <c r="AO12" i="1"/>
  <c r="M21" i="67"/>
  <c r="D2" i="36"/>
  <c r="AO11" i="1"/>
  <c r="C20" i="83"/>
  <c r="AO8" i="1"/>
  <c r="C20" i="82"/>
  <c r="F35" i="81"/>
  <c r="E6" i="76"/>
  <c r="D2" i="34"/>
  <c r="F13" i="49"/>
  <c r="H13" i="49"/>
  <c r="F10" i="49"/>
  <c r="H10" i="49"/>
  <c r="F5" i="49"/>
  <c r="H5" i="49"/>
  <c r="C12" i="12"/>
  <c r="B12" i="49"/>
  <c r="D12" i="49"/>
  <c r="C18" i="12"/>
  <c r="R16" i="1"/>
  <c r="D19" i="69"/>
  <c r="F12" i="49"/>
  <c r="H12" i="49"/>
  <c r="F7" i="49"/>
  <c r="H7" i="49"/>
  <c r="F4" i="49"/>
  <c r="H4" i="49"/>
  <c r="C14" i="12"/>
  <c r="C8" i="69"/>
  <c r="C5" i="69"/>
  <c r="F14" i="49"/>
  <c r="H14" i="49"/>
  <c r="F9" i="49"/>
  <c r="H9" i="49"/>
  <c r="F6" i="49"/>
  <c r="H6" i="49"/>
  <c r="B10" i="49"/>
  <c r="D10" i="49"/>
  <c r="F11" i="49"/>
  <c r="H11" i="49"/>
  <c r="F8" i="49"/>
  <c r="H8" i="49"/>
  <c r="B14" i="49"/>
  <c r="D14" i="49"/>
  <c r="D8" i="49"/>
  <c r="E2" i="76"/>
  <c r="F63" i="81"/>
  <c r="C62" i="81"/>
  <c r="C34" i="81"/>
  <c r="C103" i="82"/>
  <c r="B8" i="70"/>
  <c r="C103" i="83"/>
  <c r="B11" i="70"/>
  <c r="J20" i="67"/>
  <c r="B12" i="70"/>
  <c r="B9" i="70"/>
  <c r="C21" i="83"/>
  <c r="C102" i="83"/>
  <c r="C21" i="82"/>
  <c r="C102" i="82"/>
  <c r="B10" i="70"/>
  <c r="M3" i="35"/>
  <c r="J20" i="15"/>
  <c r="C34" i="67"/>
  <c r="F63" i="67"/>
  <c r="C62" i="67"/>
  <c r="N59" i="15"/>
  <c r="L59" i="15"/>
  <c r="M59" i="15"/>
  <c r="L58" i="15"/>
  <c r="J20" i="81"/>
  <c r="B2" i="76"/>
  <c r="B3" i="76"/>
  <c r="F65" i="67"/>
  <c r="F71" i="67"/>
  <c r="C6" i="67"/>
  <c r="C27" i="81"/>
  <c r="F66" i="81"/>
  <c r="C6" i="81"/>
  <c r="F71" i="15"/>
  <c r="F66" i="67"/>
  <c r="L59" i="67"/>
  <c r="M59" i="67"/>
  <c r="N59" i="67"/>
  <c r="L58" i="67"/>
  <c r="I54" i="81"/>
  <c r="J57" i="81"/>
  <c r="J55" i="81"/>
  <c r="J58" i="81"/>
  <c r="Q50" i="81"/>
  <c r="L56" i="81"/>
  <c r="L57" i="81"/>
  <c r="L60" i="81"/>
  <c r="F68" i="81"/>
  <c r="F51" i="81"/>
  <c r="Q71" i="81"/>
  <c r="L56" i="15"/>
  <c r="Q50" i="15"/>
  <c r="L57" i="15"/>
  <c r="I54" i="15"/>
  <c r="L60" i="15"/>
  <c r="F65" i="15"/>
  <c r="F64" i="15"/>
  <c r="F64" i="67"/>
  <c r="B13" i="70"/>
  <c r="F68" i="67"/>
  <c r="J53" i="67"/>
  <c r="I54" i="67"/>
  <c r="L56" i="67"/>
  <c r="J57" i="67"/>
  <c r="J55" i="67"/>
  <c r="J58" i="67"/>
  <c r="Q50" i="67"/>
  <c r="F65" i="81"/>
  <c r="M59" i="81"/>
  <c r="N59" i="81"/>
  <c r="L58" i="81"/>
  <c r="L59" i="81"/>
  <c r="C18" i="81"/>
  <c r="C15" i="81"/>
  <c r="F68" i="15"/>
  <c r="F63" i="15"/>
  <c r="C62" i="15"/>
  <c r="F50" i="15"/>
  <c r="F51" i="15"/>
  <c r="F69" i="67"/>
  <c r="Q71" i="15"/>
  <c r="Q71" i="67"/>
  <c r="C27" i="67"/>
  <c r="F51" i="67"/>
  <c r="M7" i="67"/>
  <c r="J6" i="67"/>
  <c r="F50" i="67"/>
  <c r="F71" i="81"/>
  <c r="F64" i="81"/>
  <c r="F50" i="81"/>
  <c r="M7" i="81"/>
  <c r="J6" i="81"/>
  <c r="F66" i="15"/>
  <c r="C19" i="69"/>
  <c r="D37" i="69"/>
  <c r="C37" i="69"/>
  <c r="C33" i="69"/>
  <c r="C47" i="69"/>
  <c r="D45" i="69"/>
  <c r="F45" i="69"/>
  <c r="B6" i="49"/>
  <c r="D6" i="49"/>
  <c r="B13" i="49"/>
  <c r="D13" i="49"/>
  <c r="B9" i="49"/>
  <c r="D9" i="49"/>
  <c r="B5" i="49"/>
  <c r="D5" i="49"/>
  <c r="B4" i="49"/>
  <c r="D4" i="49"/>
  <c r="B11" i="49"/>
  <c r="D11" i="49"/>
  <c r="B7" i="49"/>
  <c r="D7" i="49"/>
  <c r="C17" i="67"/>
  <c r="C17" i="81"/>
  <c r="C16" i="67"/>
  <c r="C14" i="67"/>
  <c r="C16" i="81"/>
  <c r="C20" i="69"/>
  <c r="C49" i="67"/>
  <c r="C61" i="67"/>
  <c r="C49" i="15"/>
  <c r="C16" i="12"/>
  <c r="C21" i="12"/>
  <c r="C18" i="67"/>
  <c r="C15" i="67"/>
  <c r="C19" i="81"/>
  <c r="J19" i="81"/>
  <c r="J18" i="81"/>
  <c r="J18" i="67"/>
  <c r="J19" i="67"/>
  <c r="J18" i="15"/>
  <c r="J19" i="15"/>
  <c r="F25" i="12"/>
  <c r="C26" i="12"/>
  <c r="D25" i="12"/>
  <c r="F24" i="81"/>
  <c r="C24" i="81"/>
  <c r="F22" i="69"/>
  <c r="F24" i="67"/>
  <c r="C24" i="67"/>
  <c r="L36" i="43"/>
  <c r="F22" i="11"/>
  <c r="Q61" i="81"/>
  <c r="Q74" i="81"/>
  <c r="C28" i="69"/>
  <c r="C27" i="69"/>
  <c r="M11" i="81"/>
  <c r="J10" i="81"/>
  <c r="J5" i="81"/>
  <c r="M11" i="67"/>
  <c r="J10" i="67"/>
  <c r="J5" i="67"/>
  <c r="C53" i="15"/>
  <c r="F11" i="81"/>
  <c r="C53" i="81"/>
  <c r="F11" i="67"/>
  <c r="Q60" i="81"/>
  <c r="Q73" i="81"/>
  <c r="Q52" i="67"/>
  <c r="F1" i="67"/>
  <c r="Q57" i="15"/>
  <c r="Q66" i="15"/>
  <c r="C49" i="81"/>
  <c r="C22" i="12"/>
  <c r="C30" i="12"/>
  <c r="C28" i="12"/>
  <c r="Q52" i="15"/>
  <c r="Q74" i="15"/>
  <c r="Q61" i="15"/>
  <c r="Q52" i="81"/>
  <c r="Q74" i="67"/>
  <c r="Q61" i="67"/>
  <c r="C33" i="81"/>
  <c r="C32" i="81"/>
  <c r="C31" i="81"/>
  <c r="C32" i="67"/>
  <c r="C33" i="67"/>
  <c r="C39" i="69"/>
  <c r="C46" i="69"/>
  <c r="C45" i="69"/>
  <c r="Q57" i="81"/>
  <c r="Q66" i="81"/>
  <c r="Q60" i="67"/>
  <c r="Q73" i="67"/>
  <c r="Q60" i="15"/>
  <c r="Q73" i="15"/>
  <c r="F41" i="81"/>
  <c r="C48" i="15"/>
  <c r="C66" i="15"/>
  <c r="C61" i="15"/>
  <c r="C19" i="67"/>
  <c r="C20" i="67"/>
  <c r="C23" i="67"/>
  <c r="C27" i="12"/>
  <c r="C25" i="12"/>
  <c r="C32" i="12"/>
  <c r="B2" i="12"/>
  <c r="B3" i="12"/>
  <c r="F69" i="81"/>
  <c r="F69" i="15"/>
  <c r="J24" i="67"/>
  <c r="J26" i="67"/>
  <c r="J29" i="67"/>
  <c r="J24" i="15"/>
  <c r="J24" i="81"/>
  <c r="J26" i="81"/>
  <c r="J29" i="81"/>
  <c r="C26" i="69"/>
  <c r="D22" i="69"/>
  <c r="F41" i="69"/>
  <c r="C44" i="69"/>
  <c r="D41" i="69"/>
  <c r="C23" i="69"/>
  <c r="C60" i="15"/>
  <c r="C61" i="81"/>
  <c r="C48" i="81"/>
  <c r="C42" i="11"/>
  <c r="C23" i="11"/>
  <c r="C24" i="11"/>
  <c r="C25" i="11"/>
  <c r="C44" i="11"/>
  <c r="D41" i="11"/>
  <c r="C26" i="11"/>
  <c r="D22" i="11"/>
  <c r="C43" i="11"/>
  <c r="C43" i="69"/>
  <c r="C25" i="69"/>
  <c r="L37" i="43"/>
  <c r="M36" i="43"/>
  <c r="O36" i="43"/>
  <c r="N36" i="43"/>
  <c r="Q36" i="43"/>
  <c r="P36" i="43"/>
  <c r="F41" i="68"/>
  <c r="C20" i="81"/>
  <c r="C26" i="81"/>
  <c r="C10" i="81"/>
  <c r="C5" i="81"/>
  <c r="C24" i="69"/>
  <c r="J17" i="15"/>
  <c r="J17" i="81"/>
  <c r="C42" i="69"/>
  <c r="C10" i="67"/>
  <c r="C5" i="67"/>
  <c r="C53" i="67"/>
  <c r="C48" i="67"/>
  <c r="C31" i="67"/>
  <c r="J17" i="67"/>
  <c r="C59" i="15"/>
  <c r="C23" i="81"/>
  <c r="C41" i="11"/>
  <c r="C49" i="11"/>
  <c r="C51" i="11"/>
  <c r="C26" i="67"/>
  <c r="C29" i="67"/>
  <c r="C41" i="69"/>
  <c r="C49" i="69"/>
  <c r="C51" i="69"/>
  <c r="C29" i="81"/>
  <c r="C36" i="81"/>
  <c r="C57" i="81"/>
  <c r="C64" i="81"/>
  <c r="C38" i="81"/>
  <c r="C66" i="81"/>
  <c r="C60" i="81"/>
  <c r="C59" i="81"/>
  <c r="C38" i="67"/>
  <c r="Q37" i="43"/>
  <c r="P37" i="43"/>
  <c r="N37" i="43"/>
  <c r="M37" i="43"/>
  <c r="O37" i="43"/>
  <c r="C22" i="69"/>
  <c r="C31" i="69"/>
  <c r="C22" i="11"/>
  <c r="C31" i="11"/>
  <c r="C66" i="67"/>
  <c r="C60" i="67"/>
  <c r="C59" i="67"/>
  <c r="C75" i="15"/>
  <c r="J14" i="15"/>
  <c r="J22" i="15"/>
  <c r="C57" i="15"/>
  <c r="C64" i="15"/>
  <c r="J14" i="81"/>
  <c r="J13" i="81"/>
  <c r="J23" i="81"/>
  <c r="Q49" i="81"/>
  <c r="Q49" i="15"/>
  <c r="C52" i="11"/>
  <c r="B2" i="11"/>
  <c r="B3" i="11"/>
  <c r="J59" i="81"/>
  <c r="J60" i="81"/>
  <c r="Q48" i="81"/>
  <c r="Q48" i="15"/>
  <c r="J14" i="67"/>
  <c r="J22" i="67"/>
  <c r="C57" i="67"/>
  <c r="C64" i="67"/>
  <c r="J59" i="67"/>
  <c r="J60" i="67"/>
  <c r="Q48" i="67"/>
  <c r="C13" i="67"/>
  <c r="C56" i="67"/>
  <c r="C65" i="67"/>
  <c r="C58" i="67"/>
  <c r="C67" i="67"/>
  <c r="C68" i="67"/>
  <c r="Q49" i="67"/>
  <c r="C36" i="67"/>
  <c r="C52" i="69"/>
  <c r="B2" i="69"/>
  <c r="B3" i="69"/>
  <c r="C13" i="81"/>
  <c r="C37" i="81"/>
  <c r="C30" i="81"/>
  <c r="C39" i="81"/>
  <c r="J22" i="81"/>
  <c r="J13" i="15"/>
  <c r="J23" i="15"/>
  <c r="J13" i="67"/>
  <c r="J23" i="67"/>
  <c r="C56" i="15"/>
  <c r="C65" i="15"/>
  <c r="C58" i="15"/>
  <c r="C67" i="15"/>
  <c r="C68" i="15"/>
  <c r="Q70" i="67"/>
  <c r="C80" i="15"/>
  <c r="C79" i="15"/>
  <c r="Q70" i="15"/>
  <c r="C56" i="81"/>
  <c r="C65" i="81"/>
  <c r="C58" i="81"/>
  <c r="C67" i="81"/>
  <c r="C68" i="81"/>
  <c r="C57" i="68"/>
  <c r="C56" i="68"/>
  <c r="C102" i="9"/>
  <c r="C21" i="9"/>
  <c r="C37" i="67"/>
  <c r="C75" i="81"/>
  <c r="C80" i="81"/>
  <c r="C79" i="81"/>
  <c r="C75" i="67"/>
  <c r="L46" i="81"/>
  <c r="Q70" i="81"/>
  <c r="C56" i="11"/>
  <c r="C57" i="11"/>
  <c r="J16" i="81"/>
  <c r="J25" i="81"/>
  <c r="L46" i="67"/>
  <c r="C30" i="67"/>
  <c r="C39" i="67"/>
  <c r="C40" i="67"/>
  <c r="C57" i="69"/>
  <c r="C56" i="69"/>
  <c r="C71" i="67"/>
  <c r="C40" i="81"/>
  <c r="Q69" i="81"/>
  <c r="Q68" i="81"/>
  <c r="C71" i="15"/>
  <c r="J16" i="67"/>
  <c r="J25" i="67"/>
  <c r="J16" i="15"/>
  <c r="J25" i="15"/>
  <c r="C71" i="81"/>
  <c r="C20" i="9"/>
  <c r="L51" i="81"/>
  <c r="L51" i="67"/>
  <c r="L51" i="15"/>
  <c r="Q56" i="15"/>
  <c r="Q62" i="15"/>
  <c r="C80" i="67"/>
  <c r="C79" i="67"/>
  <c r="Q69" i="15"/>
  <c r="Q68" i="15"/>
  <c r="C103" i="9"/>
  <c r="Q69" i="67"/>
  <c r="Q68" i="67"/>
  <c r="Q67" i="15"/>
  <c r="Q67" i="67"/>
  <c r="L57" i="67"/>
  <c r="L60" i="67"/>
  <c r="Q67" i="81"/>
  <c r="C43" i="15"/>
  <c r="Q65" i="15"/>
  <c r="Q75" i="15"/>
  <c r="Q47" i="15"/>
  <c r="Q53" i="15"/>
  <c r="Q65" i="81"/>
  <c r="Q75" i="81"/>
  <c r="Q47" i="81"/>
  <c r="Q53" i="81"/>
  <c r="C43" i="81"/>
  <c r="B2" i="81"/>
  <c r="Q56" i="81"/>
  <c r="Q62" i="81"/>
  <c r="C83" i="81"/>
  <c r="C82" i="81"/>
  <c r="C46" i="15"/>
  <c r="C46" i="81"/>
  <c r="Q65" i="67"/>
  <c r="Q47" i="67"/>
  <c r="Q53" i="67"/>
  <c r="C43" i="67"/>
  <c r="D2" i="67"/>
  <c r="Q56" i="67"/>
  <c r="C83" i="67"/>
  <c r="C82" i="67"/>
  <c r="C45" i="67"/>
  <c r="C46" i="67"/>
  <c r="AO7" i="1"/>
  <c r="D19" i="83"/>
  <c r="C83" i="15"/>
  <c r="C82" i="15"/>
  <c r="D102" i="83"/>
  <c r="D21" i="83"/>
  <c r="D22" i="83"/>
  <c r="G19" i="83"/>
  <c r="G21" i="83"/>
  <c r="B7" i="70"/>
  <c r="Q66" i="67"/>
  <c r="Q75" i="67"/>
  <c r="Q57" i="67"/>
  <c r="Q62" i="67"/>
  <c r="B2" i="67"/>
  <c r="B3" i="67"/>
  <c r="B3" i="81"/>
  <c r="D19" i="82"/>
  <c r="AO6" i="1"/>
  <c r="D20" i="82"/>
  <c r="D20" i="9"/>
  <c r="D20" i="83"/>
  <c r="D22" i="9"/>
  <c r="D21" i="9"/>
  <c r="D102" i="9"/>
  <c r="B6" i="70"/>
  <c r="D21" i="82"/>
  <c r="D102" i="82"/>
  <c r="D22" i="82"/>
  <c r="G19" i="82"/>
  <c r="G21" i="82"/>
  <c r="D103" i="83"/>
  <c r="G20" i="83"/>
  <c r="C32" i="83"/>
  <c r="D103" i="9"/>
  <c r="G20" i="9"/>
  <c r="D103" i="82"/>
  <c r="G20" i="82"/>
  <c r="C32" i="82"/>
  <c r="G21" i="9"/>
  <c r="B2" i="70"/>
  <c r="B3" i="70"/>
  <c r="C35" i="9"/>
  <c r="F118" i="9"/>
  <c r="C35" i="82"/>
  <c r="C34" i="82"/>
  <c r="C35" i="83"/>
  <c r="C34" i="83"/>
  <c r="C104" i="9"/>
  <c r="H101" i="9"/>
  <c r="I118" i="9"/>
  <c r="H4" i="52"/>
  <c r="H119" i="9"/>
  <c r="H5" i="52"/>
  <c r="F119" i="9"/>
  <c r="F5" i="52"/>
  <c r="B53" i="72"/>
  <c r="F4" i="52"/>
  <c r="B51" i="72"/>
  <c r="G118" i="9"/>
  <c r="G4" i="52"/>
  <c r="B52" i="72"/>
  <c r="C34" i="9"/>
  <c r="D118" i="9"/>
  <c r="H102" i="9"/>
  <c r="E118" i="9"/>
  <c r="E4" i="52"/>
  <c r="B48" i="72"/>
  <c r="I4" i="52"/>
  <c r="C105" i="9"/>
  <c r="D5" i="53"/>
  <c r="H107" i="9"/>
  <c r="M48" i="9"/>
  <c r="D45" i="9"/>
  <c r="D4" i="52"/>
  <c r="B47" i="72"/>
  <c r="D119" i="9"/>
  <c r="D5" i="52"/>
  <c r="B49" i="72"/>
  <c r="D13" i="53"/>
  <c r="H108" i="9"/>
  <c r="D122" i="9"/>
  <c r="M49" i="9"/>
  <c r="D6" i="53"/>
  <c r="B22" i="72"/>
  <c r="B20" i="72"/>
  <c r="D7" i="53"/>
  <c r="B21" i="72"/>
  <c r="C5" i="74"/>
  <c r="C64" i="9"/>
  <c r="C63" i="9"/>
  <c r="C67" i="9"/>
  <c r="D52" i="9"/>
  <c r="D55" i="9"/>
  <c r="M53" i="9"/>
  <c r="C93" i="9"/>
  <c r="C86" i="9"/>
  <c r="C78" i="9"/>
  <c r="C73" i="9"/>
  <c r="C85" i="9"/>
  <c r="D53" i="9"/>
  <c r="C72" i="9"/>
  <c r="C95" i="9"/>
  <c r="B30" i="72"/>
  <c r="D14" i="53"/>
  <c r="B32" i="72"/>
  <c r="C79" i="9"/>
  <c r="L66" i="9"/>
  <c r="M66" i="9"/>
  <c r="L63" i="9"/>
  <c r="M63" i="9"/>
  <c r="L65" i="9"/>
  <c r="M65" i="9"/>
  <c r="L67" i="9"/>
  <c r="M67" i="9"/>
  <c r="L68" i="9"/>
  <c r="M68" i="9"/>
  <c r="L64" i="9"/>
  <c r="M64" i="9"/>
  <c r="D123" i="9"/>
  <c r="D9" i="52"/>
  <c r="D8" i="52"/>
  <c r="C96" i="9"/>
  <c r="E96" i="9"/>
  <c r="E97" i="9"/>
  <c r="C6" i="74"/>
  <c r="D15" i="53"/>
  <c r="B31" i="72"/>
  <c r="C68" i="9"/>
  <c r="D54" i="9"/>
  <c r="D59" i="9"/>
  <c r="M55" i="9"/>
  <c r="M69" i="9"/>
  <c r="N69" i="9"/>
  <c r="C80" i="9"/>
  <c r="E80" i="9"/>
  <c r="E81" i="9"/>
  <c r="C97" i="9"/>
  <c r="D58" i="9"/>
  <c r="D56" i="9"/>
  <c r="M54" i="9"/>
  <c r="N57" i="9"/>
  <c r="C81" i="9"/>
  <c r="P57" i="9"/>
  <c r="N58" i="9"/>
  <c r="N59" i="9"/>
  <c r="N60" i="9"/>
  <c r="N61" i="9"/>
  <c r="D52" i="83"/>
  <c r="D53" i="83"/>
  <c r="C104" i="83"/>
  <c r="H119" i="83"/>
  <c r="H108" i="83"/>
  <c r="N58" i="82"/>
  <c r="D55" i="82"/>
  <c r="M53" i="82"/>
  <c r="N57" i="82"/>
  <c r="P57" i="82"/>
  <c r="M64" i="82"/>
  <c r="L64" i="82"/>
  <c r="H102" i="83"/>
  <c r="C105" i="83"/>
  <c r="D119" i="83"/>
  <c r="D118" i="83"/>
  <c r="E118" i="83"/>
  <c r="N61" i="83"/>
  <c r="N59" i="83"/>
  <c r="N60" i="83"/>
  <c r="N69" i="82"/>
  <c r="M69" i="82"/>
  <c r="M63" i="82"/>
  <c r="L63" i="82"/>
  <c r="L65" i="82"/>
  <c r="M65" i="82"/>
  <c r="M54" i="82"/>
  <c r="D56" i="82"/>
  <c r="D58" i="82"/>
  <c r="C97" i="82"/>
  <c r="N58" i="83"/>
  <c r="D55" i="83"/>
  <c r="M53" i="83"/>
  <c r="N57" i="83"/>
  <c r="P57" i="83"/>
  <c r="D53" i="82"/>
  <c r="D52" i="82"/>
  <c r="D119" i="82"/>
  <c r="D118" i="82"/>
  <c r="E118" i="82"/>
  <c r="L68" i="82"/>
  <c r="M68" i="82"/>
  <c r="L66" i="83"/>
  <c r="M66" i="83"/>
  <c r="F119" i="83"/>
  <c r="F118" i="83"/>
  <c r="G118" i="83"/>
  <c r="M48" i="82"/>
  <c r="H119" i="82"/>
  <c r="C104" i="82"/>
  <c r="C105" i="82"/>
  <c r="H102" i="82"/>
  <c r="N61" i="82"/>
  <c r="N59" i="82"/>
  <c r="N60" i="82"/>
  <c r="L66" i="82"/>
  <c r="M66" i="82"/>
  <c r="N69" i="83"/>
  <c r="M69" i="83"/>
  <c r="M63" i="83"/>
  <c r="L63" i="83"/>
  <c r="L64" i="83"/>
  <c r="M64" i="83"/>
  <c r="C93" i="82"/>
  <c r="C86" i="82"/>
  <c r="H108" i="82"/>
  <c r="C68" i="82"/>
  <c r="D54" i="82"/>
  <c r="C78" i="83"/>
  <c r="C73" i="83"/>
  <c r="C78" i="82"/>
  <c r="C73" i="82"/>
  <c r="C80" i="82"/>
  <c r="E80" i="82"/>
  <c r="E81" i="82"/>
  <c r="C81" i="83"/>
  <c r="G118" i="82"/>
  <c r="F118" i="82"/>
  <c r="F119" i="82"/>
  <c r="C96" i="83"/>
  <c r="E96" i="83"/>
  <c r="E97" i="83"/>
  <c r="C85" i="82"/>
  <c r="C95" i="82"/>
  <c r="C96" i="82"/>
  <c r="E96" i="82"/>
  <c r="E97" i="82"/>
  <c r="M48" i="83"/>
  <c r="C72" i="82"/>
  <c r="C79" i="82"/>
  <c r="C81" i="82"/>
  <c r="M55" i="83"/>
  <c r="D59" i="83"/>
  <c r="L68" i="83"/>
  <c r="M68" i="83"/>
  <c r="D45" i="82"/>
  <c r="C64" i="82"/>
  <c r="C63" i="82"/>
  <c r="C67" i="82"/>
  <c r="D59" i="82"/>
  <c r="M55" i="82"/>
  <c r="C85" i="83"/>
  <c r="C95" i="83"/>
  <c r="C97" i="83"/>
  <c r="D58" i="83"/>
  <c r="D56" i="83"/>
  <c r="M54" i="83"/>
  <c r="L67" i="83"/>
  <c r="M67" i="83"/>
  <c r="D122" i="83"/>
  <c r="D123" i="83"/>
  <c r="C93" i="83"/>
  <c r="C86" i="83"/>
  <c r="H107" i="83"/>
  <c r="M49" i="83"/>
  <c r="L65" i="83"/>
  <c r="M65" i="83"/>
  <c r="C72" i="83"/>
  <c r="C79" i="83"/>
  <c r="C80" i="83"/>
  <c r="E80" i="83"/>
  <c r="E81" i="83"/>
  <c r="M49" i="82"/>
  <c r="L67" i="82"/>
  <c r="M67" i="82"/>
  <c r="I118" i="83"/>
  <c r="H118" i="83"/>
  <c r="H101" i="83"/>
  <c r="D45" i="83"/>
  <c r="C64" i="83"/>
  <c r="C63" i="83"/>
  <c r="C67" i="83"/>
  <c r="C68" i="83"/>
  <c r="D54" i="83"/>
  <c r="I118" i="82"/>
  <c r="H118" i="82"/>
  <c r="H101" i="82"/>
  <c r="H107" i="82"/>
  <c r="D122" i="82"/>
  <c r="D123" i="8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8.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<sst xmlns="http://schemas.openxmlformats.org/spreadsheetml/2006/main" count="10827" uniqueCount="3679">
  <si>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</si>
  <si>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</si>
  <si>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</si>
  <si>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</si>
  <si>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</si>
  <si>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</si>
  <si>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</si>
  <si>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</si>
  <si>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</si>
  <si>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</si>
  <si>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</si>
  <si>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</si>
  <si>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</si>
  <si>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</si>
  <si>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</si>
  <si>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</si>
  <si>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</si>
  <si>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</si>
  <si>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</si>
  <si>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</si>
  <si>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</si>
  <si>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</si>
  <si>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</si>
  <si>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</si>
  <si>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</si>
  <si>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</si>
  <si>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</si>
  <si>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</si>
  <si>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</si>
  <si>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</si>
  <si>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</si>
  <si>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</si>
  <si>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</si>
  <si>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</si>
  <si>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</si>
  <si>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</si>
  <si>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</si>
  <si>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</si>
  <si>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</si>
  <si>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</si>
  <si>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</si>
  <si>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</si>
  <si>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</si>
  <si>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</si>
  <si>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</si>
  <si>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</si>
  <si>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</si>
  <si>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</si>
  <si>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</si>
  <si>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</si>
  <si>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</si>
  <si>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</si>
  <si>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</si>
  <si>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</si>
  <si>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</si>
  <si>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</si>
  <si>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</si>
  <si>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</si>
  <si>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</si>
  <si>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</si>
  <si>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</si>
  <si>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</si>
  <si>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</si>
  <si>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</si>
  <si>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</si>
  <si>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</si>
  <si>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</si>
  <si>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</si>
  <si>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</si>
  <si>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</si>
  <si>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</si>
  <si>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</si>
  <si>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</si>
  <si>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</si>
  <si>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</si>
  <si>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</si>
  <si>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</si>
  <si>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</si>
  <si>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</si>
  <si>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</si>
  <si>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</si>
  <si>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</si>
  <si>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</si>
  <si>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</si>
  <si>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</si>
  <si>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</si>
  <si>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</si>
  <si>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</si>
  <si>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</si>
  <si>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</si>
  <si>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</si>
  <si>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</si>
  <si>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</si>
  <si>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</si>
  <si>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</si>
  <si>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</si>
  <si>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</si>
  <si>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</si>
  <si>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</si>
  <si>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</si>
  <si>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</si>
  <si>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</si>
  <si>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</si>
  <si>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</si>
  <si>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</si>
  <si>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</si>
  <si>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</si>
  <si>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</si>
  <si>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</si>
  <si>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</si>
  <si>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</si>
  <si>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</si>
  <si>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</si>
  <si>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</si>
  <si>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</si>
  <si>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</si>
  <si>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</si>
  <si>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</si>
  <si>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</si>
  <si>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</si>
  <si>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</si>
  <si>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</si>
  <si>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</si>
  <si>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</si>
  <si>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</si>
  <si>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</si>
  <si>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</si>
  <si>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</si>
  <si>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</si>
  <si>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</si>
  <si>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</si>
  <si>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</si>
  <si>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</si>
  <si>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</si>
  <si>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</si>
  <si>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</si>
  <si>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</si>
  <si>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</si>
  <si>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</si>
  <si>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</si>
  <si>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</si>
  <si>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</si>
  <si>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</si>
  <si>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</si>
  <si>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</si>
  <si>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</si>
  <si>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</si>
  <si>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</si>
  <si>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</si>
  <si>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</si>
  <si>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</si>
  <si>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</si>
  <si>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</si>
  <si>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</si>
  <si>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</si>
  <si>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</si>
  <si>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</si>
  <si>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</si>
  <si>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</si>
  <si>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</si>
  <si>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</si>
  <si>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</si>
  <si>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</si>
  <si>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</si>
  <si>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</si>
  <si>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</si>
  <si>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</si>
  <si>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</si>
  <si>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</si>
  <si>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</si>
  <si>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</si>
  <si>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</si>
  <si>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</si>
  <si>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</si>
  <si>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</si>
  <si>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</si>
  <si>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</si>
  <si>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</si>
  <si>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</si>
  <si>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</si>
  <si>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</si>
  <si>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</si>
  <si>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</si>
  <si>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</si>
  <si>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</si>
  <si>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</si>
  <si>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</si>
  <si>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</si>
  <si>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</si>
  <si>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</si>
  <si>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</si>
  <si>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</si>
  <si>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</si>
  <si>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</si>
  <si>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</si>
  <si>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</si>
  <si>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</si>
  <si>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</si>
  <si>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</si>
  <si>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</si>
  <si>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</si>
  <si>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</si>
  <si>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</si>
  <si>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</si>
  <si>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</si>
  <si>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</si>
  <si>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</si>
  <si>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</si>
  <si>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</si>
  <si>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</si>
  <si>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</si>
  <si>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</si>
  <si>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</si>
  <si>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</si>
  <si>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</si>
  <si>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</si>
  <si>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</si>
  <si>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</si>
  <si>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</si>
  <si>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</si>
  <si>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</si>
  <si>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</si>
  <si>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</si>
  <si>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</si>
  <si>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</si>
  <si>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</si>
  <si>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</si>
  <si>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</si>
  <si>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</si>
  <si>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</si>
  <si>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</si>
  <si>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</si>
  <si>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</si>
  <si>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</si>
  <si>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</si>
  <si>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</si>
  <si>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</si>
  <si>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</si>
  <si>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</si>
  <si>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</si>
  <si>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</si>
  <si>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</si>
  <si>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</si>
  <si>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</si>
  <si>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</si>
  <si>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</si>
  <si>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</si>
  <si>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</si>
  <si>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</si>
  <si>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</si>
  <si>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</si>
  <si>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</si>
  <si>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</si>
  <si>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</si>
  <si>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</si>
  <si>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</si>
  <si>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</si>
  <si>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</si>
  <si>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</si>
  <si>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</si>
  <si>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</si>
  <si>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</si>
  <si>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</si>
  <si>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</si>
  <si>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</si>
  <si>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</si>
  <si>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</si>
  <si>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</si>
  <si>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</si>
  <si>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</si>
  <si>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</si>
  <si>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</si>
  <si>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</si>
  <si>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</si>
  <si>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</si>
  <si>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</si>
  <si>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</si>
  <si>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</si>
  <si>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</si>
  <si>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</si>
  <si>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</si>
  <si>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</si>
  <si>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</si>
  <si>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</si>
  <si>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</si>
  <si>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</si>
  <si>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</si>
  <si>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</si>
  <si>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</si>
  <si>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</si>
  <si>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</si>
  <si>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</si>
  <si>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</si>
  <si>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</si>
  <si>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</si>
  <si>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</si>
  <si>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</si>
  <si>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</si>
  <si>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</si>
  <si>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</si>
  <si>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</si>
  <si>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</si>
  <si>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</si>
  <si>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</si>
  <si>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</si>
  <si>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</si>
  <si>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</si>
  <si>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</si>
  <si>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</si>
  <si>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</si>
  <si>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</si>
  <si>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</si>
  <si>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</si>
  <si>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</si>
  <si>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</si>
  <si>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</si>
  <si>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</si>
  <si>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</si>
  <si>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</si>
  <si>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</si>
  <si>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</si>
  <si>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</si>
  <si>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</si>
  <si>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</si>
  <si>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</si>
  <si>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</si>
  <si>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</si>
  <si>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</si>
  <si>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</si>
  <si>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</si>
  <si>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</si>
  <si>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</si>
  <si>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</si>
  <si>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</si>
  <si>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</si>
  <si>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</si>
  <si>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</si>
  <si>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</si>
  <si>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</si>
  <si>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</si>
  <si>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</si>
  <si>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</si>
  <si>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</si>
  <si>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</si>
  <si>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</si>
  <si>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</si>
  <si>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</si>
  <si>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</si>
  <si>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</si>
  <si>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</si>
  <si>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</si>
  <si>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</si>
  <si>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</si>
  <si>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</si>
  <si>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</si>
  <si>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</si>
  <si>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</si>
  <si>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</si>
  <si>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</si>
  <si>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</si>
  <si>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</si>
  <si>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</si>
  <si>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</si>
  <si>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</si>
  <si>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</si>
  <si>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</si>
  <si>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</si>
  <si>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</si>
  <si>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</si>
  <si>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</si>
  <si>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</si>
  <si>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</si>
  <si>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</si>
  <si>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</si>
  <si>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</si>
  <si>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</si>
  <si>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</si>
  <si>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</si>
  <si>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</si>
  <si>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</si>
  <si>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</si>
  <si>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</si>
  <si>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</si>
  <si>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</si>
  <si>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</si>
  <si>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</si>
  <si>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</si>
  <si>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</si>
  <si>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</si>
  <si>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</si>
  <si>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</si>
  <si>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</si>
  <si>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</si>
  <si>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</si>
  <si>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</si>
  <si>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</si>
  <si>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</si>
  <si>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</si>
  <si>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</si>
  <si>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</si>
  <si>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</si>
  <si>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</si>
  <si>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</si>
  <si>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</si>
  <si>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</si>
  <si>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</si>
  <si>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</si>
  <si>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</si>
  <si>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</si>
  <si>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</si>
  <si>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</si>
  <si>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</si>
  <si>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</si>
  <si>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</si>
  <si>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</si>
  <si>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</si>
  <si>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</si>
  <si>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</si>
  <si>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</si>
  <si>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</si>
  <si>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</si>
  <si>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</si>
  <si>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</si>
  <si>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</si>
  <si>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</si>
  <si>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</si>
  <si>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</si>
  <si>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</si>
  <si>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</si>
  <si>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</si>
  <si>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</si>
  <si>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</si>
  <si>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</si>
  <si>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</si>
  <si>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</si>
  <si>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</si>
  <si>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</si>
  <si>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</si>
  <si>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</si>
  <si>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</si>
  <si>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</si>
  <si>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</si>
  <si>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</si>
  <si>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</si>
  <si>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</si>
  <si>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</si>
  <si>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</si>
  <si>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</si>
  <si>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</si>
  <si>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</si>
  <si>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</si>
  <si>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</si>
  <si>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</si>
  <si>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</si>
  <si>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</si>
  <si>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</si>
  <si>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</si>
  <si>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</si>
  <si>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</si>
  <si>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</si>
  <si>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</si>
  <si>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</si>
  <si>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</si>
  <si>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</si>
  <si>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</si>
  <si>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</si>
  <si>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</si>
  <si>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</si>
  <si>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</si>
  <si>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</si>
  <si>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</si>
  <si>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</si>
  <si>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</si>
  <si>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</si>
  <si>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</si>
  <si>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</si>
  <si>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</si>
  <si>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</si>
  <si>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</si>
  <si>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</si>
  <si>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</si>
  <si>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</si>
  <si>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</si>
  <si>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</si>
  <si>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</si>
  <si>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</si>
  <si>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</si>
  <si>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</si>
  <si>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</si>
  <si>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</si>
  <si>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</si>
  <si>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</si>
  <si>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</si>
  <si>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</si>
  <si>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</si>
  <si>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</si>
  <si>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</si>
  <si>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</si>
  <si>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</si>
  <si>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</si>
  <si>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</si>
  <si>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</si>
  <si>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</si>
  <si>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</si>
  <si>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</si>
  <si>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</si>
  <si>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</si>
  <si>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</si>
  <si>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</si>
  <si>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</si>
  <si>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</si>
  <si>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</si>
  <si>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</si>
  <si>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</si>
  <si>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</si>
  <si>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</si>
  <si>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</si>
  <si>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</si>
  <si>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</si>
  <si>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</si>
  <si>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</si>
  <si>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</si>
  <si>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</si>
  <si>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</si>
  <si>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</si>
  <si>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</si>
  <si>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</si>
  <si>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</si>
  <si>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</si>
  <si>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</si>
  <si>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</si>
  <si>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</si>
  <si>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</si>
  <si>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</si>
  <si>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</si>
  <si>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</si>
  <si>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</si>
  <si>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</si>
  <si>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</si>
  <si>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</si>
  <si>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</si>
  <si>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</si>
  <si>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</si>
  <si>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</si>
  <si>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</si>
  <si>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</si>
  <si>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</si>
  <si>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</si>
  <si>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</si>
  <si>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</si>
  <si>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</si>
  <si>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</si>
  <si>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</si>
  <si>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</si>
  <si>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</si>
  <si>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</si>
  <si>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</si>
  <si>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</si>
  <si>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</si>
  <si>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</si>
  <si>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</si>
  <si>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</si>
  <si>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</si>
  <si>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</si>
  <si>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</si>
  <si>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</si>
  <si>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</si>
  <si>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</si>
  <si>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</si>
  <si>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</si>
  <si>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</si>
  <si>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</si>
  <si>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</si>
  <si>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</si>
  <si>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</si>
  <si>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</si>
  <si>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</si>
  <si>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</si>
  <si>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</si>
  <si>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</si>
  <si>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</si>
  <si>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</si>
  <si>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</si>
  <si>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</si>
  <si>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</si>
  <si>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</si>
  <si>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</si>
  <si>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</si>
  <si>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</si>
  <si>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</si>
  <si>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</si>
  <si>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</si>
  <si>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</si>
  <si>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</si>
  <si>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</si>
  <si>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</si>
  <si>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</si>
  <si>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</si>
  <si>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</si>
  <si>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</si>
  <si>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</si>
  <si>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</si>
  <si>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</si>
  <si>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</si>
  <si>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</si>
  <si>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</si>
  <si>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</si>
  <si>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</si>
  <si>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</si>
  <si>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</si>
  <si>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</si>
  <si>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</si>
  <si>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</si>
  <si>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</si>
  <si>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</si>
  <si>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</si>
  <si>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</si>
  <si>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</si>
  <si>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</si>
  <si>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</si>
  <si>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</si>
  <si>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</si>
  <si>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</si>
  <si>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</si>
  <si>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</si>
  <si>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</si>
  <si>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</si>
  <si>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</si>
  <si>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</si>
  <si>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</si>
  <si>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</si>
  <si>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</si>
  <si>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</si>
  <si>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</si>
  <si>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</si>
  <si>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</si>
  <si>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</si>
  <si>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</si>
  <si>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</si>
  <si>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</si>
  <si>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</si>
  <si>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</si>
  <si>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</si>
  <si>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</si>
  <si>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</si>
  <si>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</si>
  <si>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</si>
  <si>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</si>
  <si>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</si>
  <si>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</si>
  <si>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</si>
  <si>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</si>
  <si>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</si>
  <si>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</si>
  <si>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</si>
  <si>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</si>
  <si>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</si>
  <si>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</si>
  <si>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</si>
  <si>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</si>
  <si>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</si>
  <si>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</si>
  <si>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</si>
  <si>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</si>
  <si>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</si>
  <si>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</si>
  <si>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</si>
  <si>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</si>
  <si>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</si>
  <si>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</si>
  <si>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</si>
  <si>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</si>
  <si>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</si>
  <si>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</si>
  <si>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</si>
  <si>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</si>
  <si>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</si>
  <si>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</si>
  <si>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</si>
  <si>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</si>
  <si>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</si>
  <si>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</si>
  <si>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</si>
  <si>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</si>
  <si>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</si>
  <si>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</si>
  <si>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</si>
  <si>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</si>
  <si>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</si>
  <si>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</si>
  <si>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</si>
  <si>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</si>
  <si>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</si>
  <si>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</si>
  <si>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</si>
  <si>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</si>
  <si>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</si>
  <si>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</si>
  <si>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</si>
  <si>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</si>
  <si>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</si>
  <si>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</si>
  <si>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</si>
  <si>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</si>
  <si>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</si>
  <si>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</si>
  <si>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</si>
  <si>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</si>
  <si>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</si>
  <si>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</si>
  <si>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</si>
  <si>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</si>
  <si>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</si>
  <si>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</si>
  <si>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</si>
  <si>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</si>
  <si>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</si>
  <si>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</si>
  <si>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</si>
  <si>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</si>
  <si>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</si>
  <si>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</si>
  <si>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</si>
  <si>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</si>
  <si>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</si>
  <si>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</si>
  <si>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</si>
  <si>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</si>
  <si>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</si>
  <si>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</si>
  <si>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</si>
  <si>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</si>
  <si>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</si>
  <si>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</si>
  <si>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</si>
  <si>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</si>
  <si>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</si>
  <si>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</si>
  <si>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</si>
  <si>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</si>
  <si>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</si>
  <si>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</si>
  <si>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</si>
  <si>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</si>
  <si>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</si>
  <si>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</si>
  <si>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</si>
  <si>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</si>
  <si>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</si>
  <si>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</si>
  <si>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</si>
  <si>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</si>
  <si>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</si>
  <si>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</si>
  <si>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</si>
  <si>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</si>
  <si>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</si>
  <si>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</si>
  <si>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</si>
  <si>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</si>
  <si>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</si>
  <si>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</si>
  <si>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</si>
  <si>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</si>
  <si>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</si>
  <si>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</si>
  <si>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</si>
  <si>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</si>
  <si>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</si>
  <si>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</si>
  <si>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</si>
  <si>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</si>
  <si>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</si>
  <si>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</si>
  <si>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</si>
  <si>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</si>
  <si>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</si>
  <si>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</si>
  <si>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</si>
  <si>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</si>
  <si>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</si>
  <si>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</si>
  <si>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</si>
  <si>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</si>
  <si>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</si>
  <si>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</si>
  <si>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</si>
  <si>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</si>
  <si>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</si>
  <si>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</si>
  <si>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</si>
  <si>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</si>
  <si>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</si>
  <si>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</si>
  <si>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</si>
  <si>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</si>
  <si>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</si>
  <si>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</si>
  <si>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</si>
  <si>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</si>
  <si>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</si>
  <si>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</si>
  <si>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</si>
  <si>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</si>
  <si>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</si>
  <si>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</si>
  <si>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</si>
  <si>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</si>
  <si>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</si>
  <si>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</si>
  <si>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</si>
  <si>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</si>
  <si>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</si>
  <si>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</si>
  <si>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</si>
  <si>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</si>
  <si>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</si>
  <si>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</si>
  <si>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</si>
  <si>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</si>
  <si>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</si>
  <si>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</si>
  <si>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</si>
  <si>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</si>
  <si>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</si>
  <si>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</si>
  <si>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</si>
  <si>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</si>
  <si>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</si>
  <si>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</si>
  <si>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</si>
  <si>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</si>
  <si>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</si>
  <si>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</si>
  <si>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</si>
  <si>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</si>
  <si>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</si>
  <si>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</si>
  <si>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</si>
  <si>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</si>
  <si>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</si>
  <si>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</si>
  <si>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</si>
  <si>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</si>
  <si>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</si>
  <si>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</si>
  <si>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</si>
  <si>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</si>
  <si>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</si>
  <si>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</si>
  <si>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</si>
  <si>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</si>
  <si>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</si>
  <si>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</si>
  <si>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</si>
  <si>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</si>
  <si>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</si>
  <si>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</si>
  <si>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</si>
  <si>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</si>
  <si>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</si>
  <si>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</si>
  <si>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</si>
  <si>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</si>
  <si>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</si>
  <si>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</si>
  <si>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</si>
  <si>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</si>
  <si>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</si>
  <si>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</si>
  <si>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</si>
  <si>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</si>
  <si>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</si>
  <si>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</si>
  <si>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</si>
  <si>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</si>
  <si>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</si>
  <si>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</si>
  <si>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</si>
  <si>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</si>
  <si>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</si>
  <si>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</si>
  <si>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</si>
  <si>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</si>
  <si>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</si>
  <si>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</si>
  <si>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</si>
  <si>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</si>
  <si>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</si>
  <si>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</si>
  <si>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</si>
  <si>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</si>
  <si>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</si>
  <si>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</si>
  <si>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</si>
  <si>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</si>
  <si>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</si>
  <si>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</si>
  <si>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</si>
  <si>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</si>
  <si>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</si>
  <si>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</si>
  <si>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</si>
  <si>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</si>
  <si>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</si>
  <si>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</si>
  <si>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</si>
  <si>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</si>
  <si>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</si>
  <si>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</si>
  <si>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</si>
  <si>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</si>
  <si>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</si>
  <si>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</si>
  <si>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</si>
  <si>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</si>
  <si>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</si>
  <si>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</si>
  <si>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</si>
  <si>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</si>
  <si>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</si>
  <si>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</si>
  <si>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</si>
  <si>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</si>
  <si>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</si>
  <si>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</si>
  <si>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</si>
  <si>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</si>
  <si>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</si>
  <si>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</si>
  <si>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</si>
  <si>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</si>
  <si>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</si>
  <si>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</si>
  <si>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</si>
  <si>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</si>
  <si>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</si>
  <si>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</si>
  <si>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</si>
  <si>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</si>
  <si>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</si>
  <si>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</si>
  <si>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</si>
  <si>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</si>
  <si>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</si>
  <si>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</si>
  <si>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</si>
  <si>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</si>
  <si>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</si>
  <si>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</si>
  <si>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</si>
  <si>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</si>
  <si>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</si>
  <si>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</si>
  <si>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</si>
  <si>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</si>
  <si>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</si>
  <si>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</si>
  <si>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</si>
  <si>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</si>
  <si>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</si>
  <si>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</si>
  <si>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</si>
  <si>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</si>
  <si>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</si>
  <si>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</si>
  <si>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</si>
  <si>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</si>
  <si>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</si>
  <si>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</si>
  <si>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</si>
  <si>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</si>
  <si>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</si>
  <si>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</si>
  <si>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</si>
  <si>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</si>
  <si>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</si>
  <si>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</si>
  <si>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</si>
  <si>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</si>
  <si>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</si>
  <si>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</si>
  <si>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</si>
  <si>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</si>
  <si>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</si>
  <si>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</si>
  <si>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</si>
  <si>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</si>
  <si>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</si>
  <si>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</si>
  <si>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</si>
  <si>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</si>
  <si>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</si>
  <si>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</si>
  <si>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</si>
  <si>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</si>
  <si>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</si>
  <si>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</si>
  <si>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</si>
  <si>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</si>
  <si>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</si>
  <si>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</si>
  <si>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</si>
  <si>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</si>
  <si>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</si>
  <si>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</si>
  <si>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</si>
  <si>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</si>
  <si>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</si>
  <si>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</si>
  <si>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</si>
  <si>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</si>
  <si>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</si>
  <si>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</si>
  <si>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</si>
  <si>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</si>
  <si>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</si>
  <si>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</si>
  <si>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</si>
  <si>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</si>
  <si>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</si>
  <si>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</si>
  <si>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</si>
  <si>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</si>
  <si>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</si>
  <si>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</si>
  <si>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</si>
  <si>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</si>
  <si>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</si>
  <si>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</si>
  <si>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</si>
  <si>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</si>
  <si>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</si>
  <si>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</si>
  <si>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</si>
  <si>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</si>
  <si>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</si>
  <si>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</si>
  <si>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</si>
  <si>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</si>
  <si>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</si>
  <si>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</si>
  <si>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</si>
  <si>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</si>
  <si>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</si>
  <si>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</si>
  <si>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</si>
  <si>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</si>
  <si>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</si>
  <si>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</si>
  <si>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</si>
  <si>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</si>
  <si>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</si>
  <si>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</si>
  <si>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</si>
  <si>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</si>
  <si>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</si>
  <si>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</si>
  <si>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</si>
  <si>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</si>
  <si>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</si>
  <si>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</si>
  <si>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</si>
  <si>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</si>
  <si>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</si>
  <si>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</si>
  <si>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</si>
  <si>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</si>
  <si>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</si>
  <si>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</si>
  <si>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</si>
  <si>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</si>
  <si>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</si>
  <si>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</si>
  <si>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</si>
  <si>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</si>
  <si>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</si>
  <si>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</si>
  <si>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</si>
  <si>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</si>
  <si>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</si>
  <si>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</si>
  <si>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</si>
  <si>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</si>
  <si>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</si>
  <si>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</si>
  <si>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</si>
  <si>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</si>
  <si>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</si>
  <si>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</si>
  <si>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</si>
  <si>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</si>
  <si>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</si>
  <si>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</si>
  <si>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</si>
  <si>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</si>
  <si>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</si>
  <si>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</si>
  <si>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</si>
  <si>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</si>
  <si>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</si>
  <si>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</si>
  <si>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</si>
  <si>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</si>
  <si>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</si>
  <si>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</si>
  <si>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</si>
  <si>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</si>
  <si>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</si>
  <si>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</si>
  <si>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</si>
  <si>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</si>
  <si>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</si>
  <si>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</si>
  <si>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</si>
  <si>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</si>
  <si>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</si>
  <si>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</si>
  <si>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</si>
  <si>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</si>
  <si>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</si>
  <si>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</si>
  <si>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</si>
  <si>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</si>
  <si>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</si>
  <si>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</si>
  <si>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</si>
  <si>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</si>
  <si>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</si>
  <si>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</si>
  <si>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</si>
  <si>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</si>
  <si>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</si>
  <si>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</si>
  <si>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</si>
  <si>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</si>
  <si>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</si>
  <si>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</si>
  <si>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</si>
  <si>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</si>
  <si>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</si>
  <si>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</si>
  <si>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</si>
  <si>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</si>
  <si>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</si>
  <si>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</si>
  <si>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</si>
  <si>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</si>
  <si>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</si>
  <si>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</si>
  <si>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</si>
  <si>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</si>
  <si>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</si>
  <si>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</si>
  <si>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</si>
  <si>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</si>
  <si>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</si>
  <si>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</si>
  <si>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</si>
  <si>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</si>
  <si>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</si>
  <si>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</si>
  <si>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</si>
  <si>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</si>
  <si>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</si>
  <si>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</si>
  <si>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</si>
  <si>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</si>
  <si>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</si>
  <si>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</si>
  <si>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</si>
  <si>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</si>
  <si>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</si>
  <si>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</si>
  <si>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</si>
  <si>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</si>
  <si>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</si>
  <si>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</si>
  <si>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</si>
  <si>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</si>
  <si>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</si>
  <si>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</si>
  <si>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</si>
  <si>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</si>
  <si>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</si>
  <si>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</si>
  <si>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</si>
  <si>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</si>
  <si>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</si>
  <si>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</si>
  <si>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</si>
  <si>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</si>
  <si>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</si>
  <si>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</si>
  <si>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</si>
  <si>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</si>
  <si>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</si>
  <si>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</si>
  <si>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</si>
  <si>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</si>
  <si>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</si>
  <si>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</si>
  <si>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</si>
  <si>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</si>
  <si>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</si>
  <si>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</si>
  <si>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</si>
  <si>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</si>
  <si>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</si>
  <si>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</si>
  <si>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</si>
  <si>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</si>
  <si>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</si>
  <si>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</si>
  <si>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</si>
  <si>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</si>
  <si>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</si>
  <si>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</si>
  <si>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</si>
  <si>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</si>
  <si>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</si>
  <si>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</si>
  <si>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</si>
  <si>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</si>
  <si>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</si>
  <si>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</si>
  <si>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</si>
  <si>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</si>
  <si>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</si>
  <si>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</si>
  <si>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</si>
  <si>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</si>
  <si>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</si>
  <si>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</si>
  <si>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</si>
  <si>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</si>
  <si>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</si>
  <si>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</si>
  <si>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</si>
  <si>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</si>
  <si>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</si>
  <si>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</si>
  <si>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</si>
  <si>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</si>
  <si>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</si>
  <si>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</si>
  <si>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</si>
  <si>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</si>
  <si>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</si>
  <si>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</si>
  <si>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</si>
  <si>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</si>
  <si>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</si>
  <si>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</si>
  <si>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</si>
  <si>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</si>
  <si>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</si>
  <si>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</si>
  <si>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</si>
  <si>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</si>
  <si>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</si>
  <si>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</si>
  <si>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</si>
  <si>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</si>
  <si>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</si>
  <si>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</si>
  <si>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</si>
  <si>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</si>
  <si>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</si>
  <si>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</si>
  <si>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</si>
  <si>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</si>
  <si>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</si>
  <si>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</si>
  <si>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</si>
  <si>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</si>
  <si>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</si>
  <si>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</si>
  <si>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</si>
  <si>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</si>
  <si>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</si>
  <si>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</si>
  <si>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</si>
  <si>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</si>
  <si>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</si>
  <si>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</si>
  <si>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</si>
  <si>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</si>
  <si>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</si>
  <si>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</si>
  <si>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</si>
  <si>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</si>
  <si>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</si>
  <si>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</si>
  <si>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</si>
  <si>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</si>
  <si>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</si>
  <si>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</si>
  <si>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</si>
  <si>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</si>
  <si>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</si>
  <si>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</si>
  <si>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</si>
  <si>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</si>
  <si>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</si>
  <si>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</si>
  <si>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</si>
  <si>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</si>
  <si>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</si>
  <si>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</si>
  <si>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</si>
  <si>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</si>
  <si>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</si>
  <si>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</si>
  <si>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</si>
  <si>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</si>
  <si>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</si>
  <si>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</si>
  <si>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</si>
  <si>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</si>
  <si>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</si>
  <si>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</si>
  <si>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</si>
  <si>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</si>
  <si>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</si>
  <si>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</si>
  <si>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</si>
  <si>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</si>
  <si>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</si>
  <si>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</si>
  <si>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</si>
  <si>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</si>
  <si>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</si>
  <si>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</si>
  <si>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</si>
  <si>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</si>
  <si>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</si>
  <si>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</si>
  <si>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</si>
  <si>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</si>
  <si>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</si>
  <si>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</si>
  <si>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</si>
  <si>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</si>
  <si>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</si>
  <si>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</si>
  <si>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</si>
  <si>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</si>
  <si>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</si>
  <si>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</si>
  <si>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</si>
  <si>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</si>
  <si>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</si>
  <si>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</si>
  <si>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</si>
  <si>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</si>
  <si>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</si>
  <si>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</si>
  <si>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</si>
  <si>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</si>
  <si>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</si>
  <si>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</si>
  <si>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</si>
  <si>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</si>
  <si>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</si>
  <si>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</si>
  <si>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</si>
  <si>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</si>
  <si>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</si>
  <si>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</si>
  <si>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</si>
  <si>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</si>
  <si>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</si>
  <si>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</si>
  <si>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</si>
  <si>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</si>
  <si>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</si>
  <si>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</si>
  <si>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</si>
  <si>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</si>
  <si>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</si>
  <si>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</si>
  <si>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</si>
  <si>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</si>
  <si>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</si>
  <si>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</si>
  <si>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</si>
  <si>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</si>
  <si>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</si>
  <si>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</si>
  <si>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</si>
  <si>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</si>
  <si>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</si>
  <si>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</si>
  <si>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</si>
  <si>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</si>
  <si>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</si>
  <si>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</si>
  <si>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</si>
  <si>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</si>
  <si>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</si>
  <si>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</si>
  <si>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</si>
  <si>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</si>
  <si>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</si>
  <si>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</si>
  <si>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</si>
  <si>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</si>
  <si>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</si>
  <si>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</si>
  <si>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</si>
  <si>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</si>
  <si>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</si>
  <si>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</si>
  <si>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</si>
  <si>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</si>
  <si>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</si>
  <si>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</si>
  <si>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</si>
  <si>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</si>
  <si>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</si>
  <si>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</si>
  <si>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</si>
  <si>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</si>
  <si>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</si>
  <si>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</si>
  <si>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</si>
  <si>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</si>
  <si>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</si>
  <si>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</si>
  <si>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</si>
  <si>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</si>
  <si>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</si>
  <si>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</si>
  <si>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</si>
  <si>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</si>
  <si>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</si>
  <si>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</si>
  <si>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</si>
  <si>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</si>
  <si>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</si>
  <si>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</si>
  <si>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</si>
  <si>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</si>
  <si>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</si>
  <si>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</si>
  <si>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</si>
  <si>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</si>
  <si>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</si>
  <si>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</si>
  <si>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</si>
  <si>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</si>
  <si>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</si>
  <si>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</si>
  <si>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</si>
  <si>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</si>
  <si>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</si>
  <si>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</si>
  <si>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</si>
  <si>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</si>
  <si>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</si>
  <si>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</si>
  <si>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</si>
  <si>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</si>
  <si>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</si>
  <si>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</si>
  <si>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</si>
  <si>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</si>
  <si>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</si>
  <si>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</si>
  <si>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</si>
  <si>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</si>
  <si>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</si>
  <si>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</si>
  <si>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</si>
  <si>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</si>
  <si>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</si>
  <si>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</si>
  <si>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</si>
  <si>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</si>
  <si>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</si>
  <si>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</si>
  <si>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</si>
  <si>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</si>
  <si>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</si>
  <si>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</si>
  <si>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</si>
  <si>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</si>
  <si>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</si>
  <si>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</si>
  <si>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</si>
  <si>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</si>
  <si>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</si>
  <si>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</si>
  <si>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</si>
  <si>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</si>
  <si>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</si>
  <si>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</si>
  <si>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</si>
  <si>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</si>
  <si>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</si>
  <si>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</si>
  <si>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</si>
  <si>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</si>
  <si>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</si>
  <si>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</si>
  <si>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</si>
  <si>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</si>
  <si>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</si>
  <si>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</si>
  <si>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</si>
  <si>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</si>
  <si>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</si>
  <si>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</si>
  <si>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</si>
  <si>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</si>
  <si>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</si>
  <si>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</si>
  <si>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</si>
  <si>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</si>
  <si>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</si>
  <si>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</si>
  <si>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</si>
  <si>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</si>
  <si>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</si>
  <si>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</si>
  <si>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</si>
  <si>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</si>
  <si>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</si>
  <si>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</si>
  <si>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</si>
  <si>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</si>
  <si>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</si>
  <si>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</si>
  <si>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</si>
  <si>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</si>
  <si>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</si>
  <si>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</si>
  <si>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</si>
  <si>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</si>
  <si>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</si>
  <si>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</si>
  <si>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</si>
  <si>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</si>
  <si>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</si>
  <si>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</si>
  <si>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</si>
  <si>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</si>
  <si>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</si>
  <si>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</si>
  <si>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</si>
  <si>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</si>
  <si>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</si>
  <si>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</si>
  <si>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</si>
  <si>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</si>
  <si>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</si>
  <si>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</si>
  <si>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</si>
  <si>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</si>
  <si>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</si>
  <si>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</si>
  <si>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</si>
  <si>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</si>
  <si>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</si>
  <si>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</si>
  <si>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</si>
  <si>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</si>
  <si>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</si>
  <si>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</si>
  <si>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</si>
  <si>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</si>
  <si>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</si>
  <si>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</si>
  <si>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</si>
  <si>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</si>
  <si>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</si>
  <si>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</si>
  <si>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</si>
  <si>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</si>
  <si>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</si>
  <si>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</si>
  <si>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</si>
  <si>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</si>
  <si>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</si>
  <si>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</si>
  <si>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</si>
  <si>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</si>
  <si>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</si>
  <si>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</si>
  <si>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</si>
  <si>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</si>
  <si>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</si>
  <si>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</si>
  <si>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</si>
  <si>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</si>
  <si>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</si>
  <si>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</si>
  <si>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</si>
  <si>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</si>
  <si>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</si>
  <si>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</si>
  <si>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</si>
  <si>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</si>
  <si>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</si>
  <si>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</si>
  <si>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</si>
  <si>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</si>
  <si>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</si>
  <si>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</si>
  <si>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</si>
  <si>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</si>
  <si>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</si>
  <si>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</si>
  <si>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</si>
  <si>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</si>
  <si>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</si>
  <si>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</si>
  <si>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</si>
  <si>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</si>
  <si>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</si>
  <si>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</si>
  <si>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</si>
  <si>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</si>
  <si>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</si>
  <si>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</si>
  <si>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</si>
  <si>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</si>
  <si>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</si>
  <si>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</si>
  <si>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</si>
  <si>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</si>
  <si>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</si>
  <si>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</si>
  <si>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</si>
  <si>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</si>
  <si>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</si>
  <si>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</si>
  <si>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</si>
  <si>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</si>
  <si>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</si>
  <si>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</si>
  <si>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</si>
  <si>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</si>
  <si>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</si>
  <si>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</si>
  <si>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</si>
  <si>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</si>
  <si>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</si>
  <si>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</si>
  <si>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</si>
  <si>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</si>
  <si>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</si>
  <si>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</si>
  <si>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</si>
  <si>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</si>
  <si>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</si>
  <si>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</si>
  <si>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</si>
  <si>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</si>
  <si>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</si>
  <si>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</si>
  <si>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</si>
  <si>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</si>
  <si>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</si>
  <si>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</si>
  <si>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</si>
  <si>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</si>
  <si>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</si>
  <si>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</si>
  <si>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</si>
  <si>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</si>
  <si>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</si>
  <si>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</si>
  <si>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</si>
  <si>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</si>
  <si>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</si>
  <si>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</si>
  <si>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</si>
  <si>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</si>
  <si>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</si>
  <si>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</si>
  <si>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</si>
  <si>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</si>
  <si>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</si>
  <si>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</si>
  <si>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</si>
  <si>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</si>
  <si>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</si>
  <si>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</si>
  <si>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</si>
  <si>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</si>
  <si>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</si>
  <si>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</si>
  <si>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</si>
  <si>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</si>
  <si>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</si>
  <si>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</si>
  <si>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</si>
  <si>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</si>
  <si>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</si>
  <si>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</si>
  <si>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</si>
  <si>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</si>
  <si>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</si>
  <si>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</si>
  <si>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</si>
  <si>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</si>
  <si>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</si>
  <si>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</si>
  <si>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</si>
  <si>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</si>
  <si>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</si>
  <si>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</si>
  <si>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</si>
  <si>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</si>
  <si>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</si>
  <si>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</si>
  <si>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</si>
  <si>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</si>
  <si>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</si>
  <si>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</si>
  <si>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</si>
  <si>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</si>
  <si>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</si>
  <si>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</si>
  <si>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</si>
  <si>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</si>
  <si>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</si>
  <si>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</si>
  <si>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</si>
  <si>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</si>
  <si>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</si>
  <si>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</si>
  <si>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</si>
  <si>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</si>
  <si>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</si>
  <si>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</si>
  <si>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</si>
  <si>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</si>
  <si>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</si>
  <si>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</si>
  <si>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</si>
  <si>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</si>
  <si>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</si>
  <si>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</si>
  <si>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</si>
  <si>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</si>
  <si>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</si>
  <si>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</si>
  <si>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</si>
  <si>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</si>
  <si>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</si>
  <si>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</si>
  <si>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</si>
  <si>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</si>
  <si>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</si>
  <si>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</si>
  <si>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</si>
  <si>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</si>
  <si>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</si>
  <si>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</si>
  <si>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</si>
  <si>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</si>
  <si>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</si>
  <si>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</si>
  <si>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</si>
  <si>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</si>
  <si>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</si>
  <si>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</si>
  <si>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</si>
  <si>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</si>
  <si>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</si>
  <si>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</si>
  <si>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</si>
  <si>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</si>
  <si>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</si>
  <si>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</si>
  <si>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</si>
  <si>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</si>
  <si>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</si>
  <si>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</si>
  <si>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</si>
  <si>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</si>
  <si>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</si>
  <si>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</si>
  <si>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</si>
  <si>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</si>
  <si>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</si>
  <si>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</si>
  <si>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</si>
  <si>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</si>
  <si>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</si>
  <si>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</si>
  <si>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</si>
  <si>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</si>
  <si>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</si>
  <si>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</si>
  <si>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</si>
  <si>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</si>
  <si>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</si>
  <si>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</si>
  <si>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</si>
  <si>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</si>
  <si>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</si>
  <si>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</si>
  <si>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</si>
  <si>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</si>
  <si>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</si>
  <si>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</si>
  <si>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</si>
  <si>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</si>
  <si>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</si>
  <si>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</si>
  <si>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</si>
  <si>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</si>
  <si>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</si>
  <si>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</si>
  <si>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</si>
  <si>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</si>
  <si>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</si>
  <si>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</si>
  <si>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</si>
  <si>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</si>
  <si>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</si>
  <si>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</si>
  <si>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</si>
  <si>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</si>
  <si>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</si>
  <si>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</si>
  <si>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</si>
  <si>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</si>
  <si>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</si>
  <si>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</si>
  <si>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</si>
  <si>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</si>
  <si>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</si>
  <si>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</si>
  <si>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</si>
  <si>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</si>
  <si>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</si>
  <si>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</si>
  <si>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</si>
  <si>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</si>
  <si>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</si>
  <si>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</si>
  <si>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</si>
  <si>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</si>
  <si>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</si>
  <si>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</si>
  <si>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</si>
  <si>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</si>
  <si>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</si>
  <si>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</si>
  <si>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</si>
  <si>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</si>
  <si>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</si>
  <si>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</si>
  <si>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</si>
  <si>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</si>
  <si>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</si>
  <si>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</si>
  <si>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</si>
  <si>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</si>
  <si>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</si>
  <si>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</si>
  <si>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</si>
  <si>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</si>
  <si>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</si>
  <si>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</si>
  <si>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</si>
  <si>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</si>
  <si>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</si>
  <si>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</si>
  <si>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</si>
  <si>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</si>
  <si>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</si>
  <si>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</si>
  <si>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</si>
  <si>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</si>
  <si>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</si>
  <si>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</si>
  <si>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</si>
  <si>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</si>
  <si>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</si>
  <si>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</si>
  <si>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</si>
  <si>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</si>
  <si>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</si>
  <si>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</si>
  <si>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</si>
  <si>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</si>
  <si>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</si>
  <si>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</si>
  <si>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</si>
  <si>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</si>
  <si>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</si>
  <si>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</si>
  <si>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</si>
  <si>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</si>
  <si>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</si>
  <si>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</si>
  <si>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</si>
  <si>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</si>
  <si>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</si>
  <si>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</si>
  <si>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</si>
  <si>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</si>
  <si>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</si>
  <si>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</si>
  <si>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</si>
  <si>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</si>
  <si>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</si>
  <si>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</si>
  <si>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</si>
  <si>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</si>
  <si>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</si>
  <si>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</si>
  <si>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</si>
  <si>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</si>
  <si>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</si>
  <si>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</si>
  <si>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</si>
  <si>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</si>
  <si>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</si>
  <si>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</si>
  <si>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</si>
  <si>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</si>
  <si>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</si>
  <si>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</si>
  <si>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</si>
  <si>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</si>
  <si>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</si>
  <si>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</si>
  <si>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</si>
  <si>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</si>
  <si>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</si>
  <si>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</si>
  <si>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</si>
  <si>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</si>
  <si>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</si>
  <si>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</si>
  <si>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</si>
  <si>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</si>
  <si>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</si>
  <si>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</si>
  <si>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</si>
  <si>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</si>
  <si>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</si>
  <si>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</si>
  <si>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</si>
  <si>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</si>
  <si>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</si>
  <si>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</si>
  <si>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</si>
  <si>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</si>
  <si>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</si>
  <si>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</si>
  <si>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</si>
  <si>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</si>
  <si>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</si>
  <si>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</si>
  <si>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</si>
  <si>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</si>
  <si>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</si>
  <si>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</si>
  <si>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</si>
  <si>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</si>
  <si>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</si>
  <si>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</si>
  <si>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</si>
  <si>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</si>
  <si>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</si>
  <si>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</si>
  <si>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</si>
  <si>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</si>
  <si>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</si>
  <si>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</si>
  <si>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</si>
  <si>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</si>
  <si>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</si>
  <si>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</si>
  <si>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</si>
  <si>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</si>
  <si>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</si>
  <si>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</si>
  <si>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</si>
  <si>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</si>
  <si>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</si>
  <si>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</si>
  <si>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</si>
  <si>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</si>
  <si>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</si>
  <si>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</si>
  <si>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</si>
  <si>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</si>
  <si>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</si>
  <si>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</si>
  <si>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</si>
  <si>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</si>
  <si>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</si>
  <si>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</si>
  <si>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</si>
  <si>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</si>
  <si>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</si>
  <si>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</si>
  <si>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</si>
  <si>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</si>
  <si>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</si>
  <si>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</si>
  <si>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</si>
  <si>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</si>
  <si>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</si>
  <si>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</si>
  <si>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</si>
  <si>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</si>
  <si>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</si>
  <si>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</si>
  <si>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</si>
  <si>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</si>
  <si>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</si>
  <si>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</si>
  <si>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</si>
  <si>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</si>
  <si>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</si>
  <si>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</si>
  <si>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</si>
  <si>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</si>
  <si>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</si>
  <si>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</si>
  <si>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</si>
  <si>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</si>
  <si>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</si>
  <si>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</si>
  <si>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</si>
  <si>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</si>
  <si>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</si>
  <si>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</si>
  <si>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</si>
  <si>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</si>
  <si>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</si>
  <si>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</si>
  <si>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</si>
  <si>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</si>
  <si>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</si>
  <si>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</si>
  <si>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</si>
  <si>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</si>
  <si>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</si>
  <si>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</si>
  <si>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</si>
  <si>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</si>
  <si>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</si>
  <si>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</si>
  <si>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</si>
  <si>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</si>
  <si>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</si>
  <si>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</si>
  <si>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</si>
  <si>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</si>
  <si>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</si>
  <si>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</si>
  <si>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</si>
  <si>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</si>
  <si>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</si>
  <si>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</si>
  <si>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</si>
  <si>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</si>
  <si>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</si>
  <si>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</si>
  <si>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</si>
  <si>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</si>
  <si>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</si>
  <si>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</si>
  <si>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</si>
  <si>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</si>
  <si>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</si>
  <si>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</si>
  <si>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</si>
  <si>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</si>
  <si>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</si>
  <si>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</si>
  <si>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</si>
  <si>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</si>
  <si>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</si>
  <si>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</si>
  <si>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</si>
  <si>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</si>
  <si>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</si>
  <si>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</si>
  <si>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</si>
  <si>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</si>
  <si>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</si>
  <si>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</si>
  <si>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</si>
  <si>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</si>
  <si>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</si>
  <si>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</si>
  <si>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</si>
  <si>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</si>
  <si>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</si>
  <si>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</si>
  <si>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</si>
  <si>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</si>
  <si>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</si>
  <si>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</si>
  <si>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</si>
  <si>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</si>
  <si>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</si>
  <si>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</si>
  <si>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</si>
  <si>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</si>
  <si>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</si>
  <si>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</si>
  <si>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</si>
  <si>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</si>
  <si>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</si>
  <si>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</si>
  <si>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</si>
  <si>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</si>
  <si>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</si>
  <si>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</si>
  <si>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</si>
  <si>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</si>
  <si>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</si>
  <si>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</si>
  <si>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</si>
  <si>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</si>
  <si>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</si>
  <si>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</si>
  <si>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</si>
  <si>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</si>
  <si>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</si>
  <si>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</si>
  <si>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</si>
  <si>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</si>
  <si>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</si>
  <si>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</si>
  <si>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</si>
  <si>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</si>
  <si>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</si>
  <si>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</si>
  <si>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</si>
  <si>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</si>
  <si>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</si>
  <si>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</si>
  <si>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</si>
  <si>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</si>
  <si>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</si>
  <si>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</si>
  <si>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</si>
  <si>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</si>
  <si>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</si>
  <si>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</si>
  <si>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</si>
  <si>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</si>
  <si>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</si>
  <si>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</si>
  <si>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</si>
  <si>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</si>
  <si>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</si>
  <si>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</si>
  <si>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</si>
  <si>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</si>
  <si>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</si>
  <si>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</si>
  <si>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</si>
  <si>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</si>
  <si>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</si>
  <si>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</si>
  <si>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</si>
  <si>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</si>
  <si>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</si>
  <si>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</si>
  <si>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</si>
  <si>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</si>
  <si>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</si>
  <si>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</si>
  <si>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</si>
  <si>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</si>
  <si>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</si>
  <si>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</si>
  <si>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</si>
  <si>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</si>
  <si>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</si>
  <si>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</si>
  <si>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</si>
  <si>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</si>
  <si>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</si>
  <si>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</si>
  <si>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</si>
  <si>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</si>
  <si>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</si>
  <si>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</si>
  <si>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</si>
  <si>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</si>
  <si>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</si>
  <si>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</si>
  <si>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</si>
  <si>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</si>
  <si>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</si>
  <si>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</si>
  <si>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</si>
  <si>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</si>
  <si>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</si>
  <si>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</si>
  <si>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</si>
  <si>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</si>
  <si>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</si>
  <si>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</si>
  <si>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</si>
  <si>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</si>
  <si>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</si>
  <si>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</si>
  <si>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</si>
  <si>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</si>
  <si>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</si>
  <si>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</si>
  <si>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</si>
  <si>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</si>
  <si>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</si>
  <si>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</si>
  <si>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</si>
  <si>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</si>
  <si>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</si>
  <si>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</si>
  <si>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</si>
  <si>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</si>
  <si>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</si>
  <si>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</si>
  <si>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</si>
  <si>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</si>
  <si>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</si>
  <si>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</si>
  <si>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</si>
  <si>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</si>
  <si>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</si>
  <si>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</si>
  <si>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</si>
  <si>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</si>
  <si>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</si>
  <si>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</si>
  <si>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</si>
  <si>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</si>
  <si>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</si>
  <si>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</si>
  <si>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</si>
  <si>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</si>
  <si>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</si>
  <si>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</si>
  <si>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</si>
  <si>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</si>
  <si>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</si>
  <si>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</si>
  <si>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</si>
  <si>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</si>
  <si>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</si>
  <si>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</si>
  <si>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</si>
  <si>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</si>
  <si>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</si>
  <si>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</si>
  <si>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</si>
  <si>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</si>
  <si>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</si>
  <si>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</si>
  <si>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</si>
  <si>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</si>
  <si>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</si>
  <si>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</si>
  <si>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</si>
  <si>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</si>
  <si>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</si>
  <si>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</si>
  <si>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</si>
  <si>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</si>
  <si>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</si>
  <si>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</si>
  <si>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</si>
  <si>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</si>
  <si>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</si>
  <si>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</si>
  <si>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</si>
  <si>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</si>
  <si>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</si>
  <si>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</si>
  <si>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</si>
  <si>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</si>
  <si>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</si>
  <si>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</si>
  <si>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</si>
  <si>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</si>
  <si>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</si>
  <si>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</si>
  <si>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</si>
  <si>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</si>
  <si>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</si>
  <si>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</si>
  <si>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</si>
  <si>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</si>
  <si>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</si>
  <si>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</si>
  <si>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</si>
  <si>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</si>
  <si>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</si>
  <si>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</si>
  <si>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</si>
  <si>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</si>
  <si>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</si>
  <si>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</si>
  <si>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</si>
  <si>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</si>
  <si>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</si>
  <si>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</si>
  <si>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</si>
  <si>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</si>
  <si>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</si>
  <si>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</si>
  <si>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</si>
  <si>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</si>
  <si>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</si>
  <si>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</si>
  <si>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</si>
  <si>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</si>
  <si>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</si>
  <si>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</si>
  <si>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</si>
  <si>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</si>
  <si>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</si>
  <si>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</si>
  <si>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</si>
  <si>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</si>
  <si>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</si>
  <si>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</si>
  <si>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</si>
  <si>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</si>
  <si>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</si>
  <si>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</si>
  <si>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</si>
  <si>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</si>
  <si>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</si>
  <si>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</si>
  <si>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</si>
  <si>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</si>
  <si>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</si>
  <si>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</si>
  <si>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</si>
  <si>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</si>
  <si>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</si>
  <si>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</si>
  <si>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</si>
  <si>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</si>
  <si>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</si>
  <si>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</si>
  <si>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</si>
  <si>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</si>
  <si>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</si>
  <si>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</si>
  <si>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</si>
  <si>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</si>
  <si>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</si>
  <si>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</si>
  <si>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</si>
  <si>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</si>
  <si>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</si>
  <si>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</si>
  <si>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</si>
  <si>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</si>
  <si>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</si>
  <si>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</si>
  <si>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</si>
  <si>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</si>
  <si>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</si>
  <si>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</si>
  <si>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</si>
  <si>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</si>
  <si>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</si>
  <si>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</si>
  <si>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</si>
  <si>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</si>
  <si>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</si>
  <si>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</si>
  <si>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</si>
  <si>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</si>
  <si>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</si>
  <si>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</si>
  <si>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</si>
  <si>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</si>
  <si>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</si>
  <si>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</si>
  <si>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</si>
  <si>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</si>
  <si>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</si>
  <si>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</si>
  <si>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</si>
  <si>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</si>
  <si>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</si>
  <si>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</si>
  <si>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</si>
  <si>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</si>
  <si>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</si>
  <si>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</si>
  <si>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</si>
  <si>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</si>
  <si>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</si>
  <si>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</si>
  <si>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</si>
  <si>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</si>
  <si>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</si>
  <si>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</si>
  <si>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</si>
  <si>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</si>
  <si>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</si>
  <si>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</si>
  <si>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</si>
  <si>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</si>
  <si>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</si>
  <si>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</si>
  <si>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</si>
  <si>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</si>
  <si>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</si>
  <si>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</si>
  <si>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</si>
  <si>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</si>
  <si>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</si>
  <si>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</si>
  <si>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</si>
  <si>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</si>
  <si>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</si>
  <si>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</si>
  <si>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</si>
  <si>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</si>
  <si>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</si>
  <si>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</si>
  <si>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</si>
  <si>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</si>
  <si>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</si>
  <si>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</si>
  <si>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</si>
  <si>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</si>
  <si>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</si>
  <si>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</si>
  <si>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</si>
  <si>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</si>
  <si>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</si>
  <si>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</si>
  <si>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</si>
  <si>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</si>
  <si>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</si>
  <si>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</si>
  <si>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</si>
  <si>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</si>
  <si>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</si>
  <si>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</si>
  <si>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</si>
  <si>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</si>
  <si>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</si>
  <si>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</si>
  <si>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</si>
  <si>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</si>
  <si>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</si>
  <si>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</si>
  <si>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</si>
  <si>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</si>
  <si>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</si>
  <si>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</si>
  <si>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</si>
  <si>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</si>
  <si>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</si>
  <si>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</si>
  <si>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</si>
  <si>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</si>
  <si>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</si>
  <si>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</si>
  <si>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</si>
  <si>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</si>
  <si>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</si>
  <si>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</si>
  <si>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</si>
  <si>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</si>
  <si>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</si>
  <si>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</si>
  <si>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</si>
  <si>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</si>
  <si>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</si>
  <si>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</si>
  <si>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</si>
  <si>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</si>
  <si>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</si>
  <si>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</si>
  <si>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</si>
  <si>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</si>
  <si>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</si>
  <si>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</si>
  <si>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</si>
  <si>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</si>
  <si>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</si>
  <si>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</si>
  <si>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</si>
  <si>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</si>
  <si>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</si>
  <si>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</si>
  <si>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</si>
  <si>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</si>
  <si>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</si>
  <si>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</si>
  <si>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</si>
  <si>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</si>
  <si>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</si>
  <si>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</si>
  <si>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</si>
  <si>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</si>
  <si>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</si>
  <si>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</si>
  <si>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</si>
  <si>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</si>
  <si>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</si>
  <si>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</si>
  <si>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</si>
  <si>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</si>
  <si>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</si>
  <si>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</si>
  <si>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</si>
  <si>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</si>
  <si>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</si>
  <si>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</si>
  <si>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</si>
  <si>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</si>
  <si>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</si>
  <si>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</si>
  <si>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</si>
  <si>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</si>
  <si>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</si>
  <si>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</si>
  <si>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</si>
  <si>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</si>
  <si>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</si>
  <si>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</si>
  <si>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</si>
  <si>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</si>
  <si>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</si>
  <si>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</si>
  <si>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</si>
  <si>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</si>
  <si>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</si>
  <si>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</si>
  <si>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</si>
  <si>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</si>
  <si>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</si>
  <si>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</si>
  <si>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</si>
  <si>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</si>
  <si>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</si>
  <si>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</si>
  <si>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</si>
  <si>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</si>
  <si>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</si>
  <si>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</si>
  <si>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</si>
  <si>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</si>
  <si>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</si>
  <si>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</si>
  <si>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</si>
  <si>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</si>
  <si>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</si>
  <si>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</si>
  <si>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</si>
  <si>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</si>
  <si>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</si>
  <si>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</si>
  <si>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</si>
  <si>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</si>
  <si>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</si>
  <si>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</si>
  <si>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</si>
  <si>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</si>
  <si>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</si>
  <si>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</si>
  <si>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</si>
  <si>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</si>
  <si>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</si>
  <si>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</si>
  <si>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</si>
  <si>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</si>
  <si>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</si>
  <si>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</si>
  <si>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</si>
  <si>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</si>
  <si>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</si>
  <si>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</si>
  <si>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</si>
  <si>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</si>
  <si>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</si>
  <si>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</si>
  <si>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</si>
  <si>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</si>
  <si>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</si>
  <si>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</si>
  <si>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</si>
  <si>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</si>
  <si>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</si>
  <si>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</si>
  <si>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</si>
  <si>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</si>
  <si>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</si>
  <si>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</si>
  <si>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</si>
  <si>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</si>
  <si>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</si>
  <si>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</si>
  <si>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</si>
  <si>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</si>
  <si>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</si>
  <si>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</si>
  <si>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</si>
  <si>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</si>
  <si>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</si>
  <si>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</si>
  <si>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</si>
  <si>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</si>
  <si>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</si>
  <si>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</si>
  <si>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</si>
  <si>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</si>
  <si>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</si>
  <si>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</si>
  <si>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</si>
  <si>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</si>
  <si>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</si>
  <si>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</si>
  <si>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</si>
  <si>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</si>
  <si>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</si>
  <si>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</si>
  <si>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</si>
  <si>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</si>
  <si>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</si>
  <si>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</si>
  <si>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</si>
  <si>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</si>
  <si>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</si>
  <si>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</si>
  <si>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</si>
  <si>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</si>
  <si>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</si>
  <si>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</si>
  <si>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</si>
  <si>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</si>
  <si>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</si>
  <si>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</si>
  <si>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</si>
  <si>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</si>
  <si>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</si>
  <si>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</si>
  <si>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</si>
  <si>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</si>
  <si>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</si>
  <si>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</si>
  <si>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</si>
  <si>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</si>
  <si>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</si>
  <si>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</si>
  <si>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</si>
  <si>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</si>
  <si>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</si>
  <si>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</si>
  <si>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</si>
  <si>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</si>
  <si>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</si>
  <si>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</si>
  <si>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</si>
  <si>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</si>
  <si>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</si>
  <si>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</si>
  <si>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</si>
  <si>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</si>
  <si>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</si>
  <si>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</si>
  <si>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</si>
  <si>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</si>
  <si>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</si>
  <si>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</si>
  <si>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</si>
  <si>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</si>
  <si>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</si>
  <si>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</si>
  <si>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</si>
  <si>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</si>
  <si>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</si>
  <si>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</si>
  <si>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</si>
  <si>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</si>
  <si>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</si>
  <si>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</si>
  <si>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</si>
  <si>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</si>
  <si>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</si>
  <si>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</si>
  <si>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</si>
  <si>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</si>
  <si>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</si>
  <si>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</si>
  <si>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</si>
  <si>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</si>
  <si>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</si>
  <si>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</si>
  <si>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</si>
  <si>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</si>
  <si>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</si>
  <si>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</si>
  <si>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</si>
  <si>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</si>
  <si>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</si>
  <si>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</si>
  <si>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</si>
  <si>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</si>
  <si>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</si>
  <si>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</si>
  <si>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</si>
  <si>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</si>
  <si>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</si>
  <si>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</si>
  <si>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</si>
  <si>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</si>
  <si>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</si>
  <si>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</si>
  <si>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</si>
  <si>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</si>
  <si>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</si>
  <si>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</si>
  <si>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</si>
  <si>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</si>
  <si>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</si>
  <si>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</si>
  <si>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</si>
  <si>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</si>
  <si>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</si>
  <si>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</si>
  <si>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</si>
  <si>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</si>
  <si>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</si>
  <si>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</si>
  <si>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</si>
  <si>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</si>
  <si>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</si>
  <si>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</si>
  <si>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</si>
  <si>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</si>
  <si>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</si>
  <si>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</si>
  <si>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</si>
  <si>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</si>
  <si>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</si>
  <si>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</si>
  <si>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</si>
  <si>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</si>
  <si>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</si>
  <si>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</si>
  <si>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</si>
  <si>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</si>
  <si>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</si>
  <si>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</si>
  <si>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</si>
  <si>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</si>
  <si>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</si>
  <si>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</si>
  <si>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</si>
  <si>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</si>
  <si>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</si>
  <si>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</si>
  <si>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</si>
  <si>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</si>
  <si>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</si>
  <si>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</si>
  <si>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</si>
  <si>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</si>
  <si>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</si>
  <si>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</si>
  <si>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</si>
  <si>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</si>
  <si>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</si>
  <si>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</si>
  <si>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</si>
  <si>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</si>
  <si>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</si>
  <si>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</si>
  <si>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</si>
  <si>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</si>
  <si>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</si>
  <si>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</si>
  <si>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</si>
  <si>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</si>
  <si>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</si>
  <si>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</si>
  <si>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</si>
  <si>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</si>
  <si>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</si>
  <si>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</si>
  <si>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</si>
  <si>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</si>
  <si>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</si>
  <si>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</si>
  <si>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</si>
  <si>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</si>
  <si>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</si>
  <si>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</si>
  <si>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</si>
  <si>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</si>
  <si>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</si>
  <si>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</si>
  <si>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</si>
  <si>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</si>
  <si>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</si>
  <si>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</si>
  <si>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</si>
  <si>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</si>
  <si>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</si>
  <si>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</si>
  <si>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</si>
  <si>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</si>
  <si>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</si>
  <si>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</si>
  <si>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</si>
  <si>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</si>
  <si>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</si>
  <si>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</si>
  <si>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</si>
  <si>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</si>
  <si>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</si>
  <si>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</si>
  <si>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</si>
  <si>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</si>
  <si>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</si>
  <si>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</si>
  <si>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</si>
  <si>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</si>
  <si>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</si>
  <si>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</si>
  <si>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</si>
  <si>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</si>
  <si>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</si>
  <si>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</si>
  <si>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</si>
  <si>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</si>
  <si>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</si>
  <si>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</si>
  <si>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</si>
  <si>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</si>
  <si>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</si>
  <si>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</si>
  <si>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</si>
  <si>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</si>
  <si>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</si>
  <si>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</si>
  <si>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</si>
  <si>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</si>
  <si>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</si>
  <si>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</si>
  <si>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</si>
  <si>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</si>
  <si>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</si>
  <si>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</si>
  <si>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</si>
  <si>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</si>
  <si>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</si>
  <si>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</si>
  <si>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</si>
  <si>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</si>
  <si>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</si>
  <si>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</si>
  <si>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</si>
  <si>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</si>
  <si>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</si>
  <si>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</si>
  <si>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</si>
  <si>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</si>
  <si>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</si>
  <si>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</si>
  <si>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</si>
  <si>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</si>
  <si>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</si>
  <si>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</si>
  <si>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</si>
  <si>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</si>
  <si>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</si>
  <si>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</si>
  <si>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</si>
  <si>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</si>
  <si>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</si>
  <si>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</si>
  <si>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</si>
  <si>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</si>
  <si>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</si>
  <si>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</si>
  <si>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</si>
  <si>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</si>
  <si>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</si>
  <si>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</si>
  <si>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</si>
  <si>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</si>
  <si>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</si>
  <si>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</si>
  <si>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</si>
  <si>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</si>
  <si>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</si>
  <si>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</si>
  <si>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</si>
  <si>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</si>
  <si>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</si>
  <si>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</si>
  <si>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</si>
  <si>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</si>
  <si>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</si>
  <si>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</si>
  <si>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</si>
  <si>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</si>
  <si>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</si>
  <si>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</si>
  <si>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</si>
  <si>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</si>
  <si>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</si>
  <si>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</si>
  <si>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</si>
  <si>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</si>
  <si>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</si>
  <si>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</si>
  <si>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</si>
  <si>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</si>
  <si>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</si>
  <si>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</si>
  <si>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</si>
  <si>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</si>
  <si>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</si>
  <si>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</si>
  <si>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</si>
  <si>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</si>
  <si>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</si>
  <si>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</si>
  <si>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</si>
  <si>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</si>
  <si>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</si>
  <si>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</si>
  <si>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</si>
  <si>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</si>
  <si>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</si>
  <si>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</si>
  <si>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</si>
  <si>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</si>
  <si>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</si>
  <si>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</si>
  <si>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</si>
  <si>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</si>
  <si>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</si>
  <si>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</si>
  <si>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</si>
  <si>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</si>
  <si>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</si>
  <si>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</si>
  <si>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</si>
  <si>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</si>
  <si>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</si>
  <si>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</si>
  <si>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</si>
  <si>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</si>
  <si>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</si>
  <si>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</si>
  <si>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</si>
  <si>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</si>
  <si>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</si>
  <si>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</si>
  <si>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</si>
  <si>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</si>
  <si>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</si>
  <si>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</si>
  <si>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</si>
  <si>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</si>
  <si>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</si>
  <si>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</si>
  <si>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</si>
  <si>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</si>
  <si>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</si>
  <si>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</si>
  <si>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</si>
  <si>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</si>
  <si>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</si>
  <si>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</si>
  <si>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</si>
  <si>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</si>
  <si>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</si>
  <si>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</si>
  <si>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</si>
  <si>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</si>
  <si>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</si>
  <si>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</si>
  <si>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</si>
  <si>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</si>
  <si>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</si>
  <si>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</si>
  <si>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</si>
  <si>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</si>
  <si>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</si>
  <si>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</si>
  <si>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</si>
  <si>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</si>
  <si>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</si>
  <si>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</si>
  <si>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</si>
  <si>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</si>
  <si>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</si>
  <si>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</si>
  <si>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</si>
  <si>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</si>
  <si>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</si>
  <si>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</si>
  <si>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</si>
  <si>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</si>
  <si>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</si>
  <si>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</si>
  <si>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</si>
  <si>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</si>
  <si>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</si>
  <si>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</si>
  <si>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</si>
  <si>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</si>
  <si>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</si>
  <si>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</si>
  <si>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</si>
  <si>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</si>
  <si>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</si>
  <si>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</si>
  <si>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</si>
  <si>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</si>
  <si>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</si>
  <si>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</si>
  <si>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</si>
  <si>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</si>
  <si>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</si>
  <si>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</si>
  <si>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</si>
  <si>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</si>
  <si>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</si>
  <si>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</si>
  <si>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</si>
  <si>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</si>
  <si>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</si>
  <si>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</si>
  <si>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</si>
  <si>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</si>
  <si>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</si>
  <si>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</si>
  <si>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</si>
  <si>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</si>
  <si>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</si>
  <si>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</si>
  <si>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</si>
  <si>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</si>
  <si>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</si>
  <si>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</si>
  <si>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</si>
  <si>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</si>
  <si>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</si>
  <si>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</si>
  <si>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</si>
  <si>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</si>
  <si>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</si>
  <si>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</si>
  <si>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</si>
  <si>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</si>
  <si>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</si>
  <si>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</si>
  <si>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</si>
  <si>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</si>
  <si>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</si>
  <si>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</si>
  <si>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</si>
  <si>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</si>
  <si>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</si>
  <si>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</si>
  <si>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</si>
  <si>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</si>
  <si>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</si>
  <si>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</si>
  <si>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</si>
  <si>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</si>
  <si>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</si>
  <si>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</si>
  <si>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</si>
  <si>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</si>
  <si>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</si>
  <si>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</si>
  <si>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</si>
  <si>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</si>
  <si>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</si>
  <si>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</si>
  <si>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</si>
  <si>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</si>
  <si>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</si>
  <si>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</si>
  <si>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</si>
  <si>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</si>
  <si>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</si>
  <si>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</si>
  <si>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</si>
  <si>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</si>
  <si>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</si>
  <si>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</si>
  <si>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</si>
  <si>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</si>
  <si>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</si>
  <si>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</si>
  <si>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</si>
  <si>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</si>
  <si>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</si>
  <si>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</si>
  <si>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</si>
  <si>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</si>
  <si>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</si>
  <si>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</si>
  <si>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</si>
  <si>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</si>
  <si>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</si>
  <si>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</si>
  <si>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</si>
  <si>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</si>
  <si>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</si>
  <si>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</si>
  <si>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</si>
  <si>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</si>
  <si>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</si>
  <si>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</si>
  <si>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</si>
  <si>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</si>
  <si>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</si>
  <si>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</si>
  <si>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</si>
  <si>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</si>
  <si>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</si>
  <si>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</si>
  <si>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</si>
  <si>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</si>
  <si>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</si>
  <si>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</si>
  <si>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</si>
  <si>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</si>
  <si>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</si>
  <si>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</si>
  <si>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</si>
  <si>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</si>
  <si>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</si>
  <si>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</si>
  <si>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</si>
  <si>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</si>
  <si>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</si>
  <si>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</si>
  <si>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</si>
  <si>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</si>
  <si>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</si>
  <si>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</si>
  <si>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</si>
  <si>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</si>
  <si>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</si>
  <si>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</si>
  <si>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</si>
  <si>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</si>
  <si>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</si>
  <si>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</si>
  <si>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</si>
  <si>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</si>
  <si>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</si>
  <si>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</si>
  <si>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</si>
  <si>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</si>
  <si>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</si>
  <si>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</si>
  <si>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</si>
  <si>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</si>
  <si>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</si>
  <si>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</si>
  <si>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</si>
  <si>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</si>
  <si>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</si>
  <si>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</si>
  <si>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</si>
  <si>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</si>
  <si>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</si>
  <si>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</si>
  <si>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</si>
  <si>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</si>
  <si>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</si>
  <si>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</si>
  <si>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</si>
  <si>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</si>
  <si>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</si>
  <si>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</si>
  <si>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</si>
  <si>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</si>
  <si>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</si>
  <si>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</si>
  <si>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</si>
  <si>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</si>
  <si>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</si>
  <si>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</si>
  <si>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</si>
  <si>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</si>
  <si>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</si>
  <si>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</si>
  <si>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</si>
  <si>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</si>
  <si>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</si>
  <si>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</si>
  <si>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</si>
  <si>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</si>
  <si>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</si>
  <si>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</si>
  <si>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</si>
  <si>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</si>
  <si>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</si>
  <si>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</si>
  <si>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</si>
  <si>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</si>
  <si>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</si>
  <si>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</si>
  <si>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</si>
  <si>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</si>
  <si>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</si>
  <si>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</si>
  <si>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</si>
  <si>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</si>
  <si>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</si>
  <si>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</si>
  <si>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</si>
  <si>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</si>
  <si>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</si>
  <si>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</si>
  <si>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</si>
  <si>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</si>
  <si>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</si>
  <si>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</si>
  <si>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</si>
  <si>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</si>
  <si>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</si>
  <si>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</si>
  <si>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</si>
  <si>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</si>
  <si>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</si>
  <si>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</si>
  <si>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</si>
  <si>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</si>
  <si>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</si>
  <si>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</si>
  <si>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</si>
  <si>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</si>
  <si>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</si>
  <si>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</si>
  <si>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</si>
  <si>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</si>
  <si>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</si>
  <si>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</si>
  <si>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</si>
  <si>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</si>
  <si>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</si>
  <si>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</si>
  <si>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</si>
  <si>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</si>
  <si>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</si>
  <si>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</si>
  <si>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</si>
  <si>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</si>
  <si>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</si>
  <si>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</si>
  <si>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</si>
  <si>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</si>
  <si>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</si>
  <si>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</si>
  <si>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</si>
  <si>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</si>
  <si>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</si>
  <si>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</si>
  <si>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</si>
  <si>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</si>
  <si>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</si>
  <si>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</si>
  <si>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</si>
  <si>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</si>
  <si>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</si>
  <si>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</si>
  <si>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</si>
  <si>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</si>
  <si>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</si>
  <si>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</si>
  <si>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</si>
  <si>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</si>
  <si>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</si>
  <si>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</si>
  <si>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</si>
  <si>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</si>
  <si>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</si>
  <si>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</si>
  <si>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</si>
  <si>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</si>
  <si>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</si>
  <si>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</si>
  <si>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</si>
  <si>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</si>
  <si>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</si>
  <si>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</si>
  <si>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</si>
  <si>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</si>
  <si>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</si>
  <si>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</si>
  <si>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</si>
  <si>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</si>
  <si>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</si>
  <si>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</si>
  <si>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</si>
  <si>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</si>
  <si>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</si>
  <si>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</si>
  <si>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</si>
  <si>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</si>
  <si>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</si>
  <si>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</si>
  <si>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</si>
  <si>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</si>
  <si>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</si>
  <si>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</si>
  <si>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</si>
  <si>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</si>
  <si>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</si>
  <si>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</si>
  <si>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</si>
  <si>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</si>
  <si>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</si>
  <si>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</si>
  <si>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</si>
  <si>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</si>
  <si>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</si>
  <si>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</si>
  <si>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</si>
  <si>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</si>
  <si>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</si>
  <si>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</si>
  <si>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</si>
  <si>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</si>
  <si>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</si>
  <si>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</si>
  <si>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</si>
  <si>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</si>
  <si>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</si>
  <si>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</si>
  <si>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</si>
  <si>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</si>
  <si>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</si>
  <si>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</si>
  <si>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</si>
  <si>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</si>
  <si>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</si>
  <si>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</si>
  <si>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</si>
  <si>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</si>
  <si>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</si>
  <si>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</si>
  <si>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</si>
  <si>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</si>
  <si>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</si>
  <si>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</si>
  <si>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</si>
  <si>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</si>
  <si>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</si>
  <si>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</si>
  <si>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</si>
  <si>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</si>
  <si>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</si>
  <si>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</si>
  <si>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</si>
  <si>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</si>
  <si>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</si>
  <si>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</si>
  <si>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</si>
  <si>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</si>
  <si>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</si>
  <si>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房地产抵押价值</t>
  </si>
  <si>
    <t>固定资产—房屋建筑物评估明细表</t>
  </si>
  <si>
    <t>申报单位：</t>
  </si>
  <si>
    <r>
      <rPr>
        <sz val="12"/>
        <rFont val="宋体"/>
        <family val="3"/>
        <charset val="134"/>
      </rPr>
      <t>金额单位：人民币元</t>
    </r>
    <r>
      <rPr>
        <sz val="12"/>
        <rFont val="Times New Roman"/>
        <family val="1"/>
      </rPr>
      <t xml:space="preserve">  </t>
    </r>
  </si>
  <si>
    <t>序号</t>
  </si>
  <si>
    <r>
      <rPr>
        <sz val="12"/>
        <rFont val="宋体"/>
        <family val="3"/>
        <charset val="134"/>
      </rPr>
      <t>所占宗地情况</t>
    </r>
  </si>
  <si>
    <t>房屋所有权证号</t>
  </si>
  <si>
    <t>房产证载权利人</t>
    <phoneticPr fontId="274" type="noConversion"/>
  </si>
  <si>
    <t>建筑物名称</t>
  </si>
  <si>
    <t>证载房屋用途</t>
  </si>
  <si>
    <t>实际房屋用途</t>
    <phoneticPr fontId="134" type="noConversion"/>
  </si>
  <si>
    <t>详细地址</t>
  </si>
  <si>
    <t>结构</t>
  </si>
  <si>
    <t>幢号</t>
  </si>
  <si>
    <t>房号</t>
  </si>
  <si>
    <r>
      <rPr>
        <sz val="12"/>
        <rFont val="宋体"/>
        <family val="3"/>
        <charset val="134"/>
      </rPr>
      <t>所在层</t>
    </r>
  </si>
  <si>
    <t>总楼层</t>
  </si>
  <si>
    <t>层高（米）</t>
  </si>
  <si>
    <r>
      <rPr>
        <sz val="12"/>
        <rFont val="宋体"/>
        <family val="3"/>
        <charset val="134"/>
      </rPr>
      <t>资产状况</t>
    </r>
  </si>
  <si>
    <r>
      <rPr>
        <sz val="12"/>
        <rFont val="宋体"/>
        <family val="3"/>
        <charset val="134"/>
      </rPr>
      <t>建筑面积</t>
    </r>
    <r>
      <rPr>
        <sz val="12"/>
        <rFont val="Times New Roman"/>
        <family val="1"/>
      </rPr>
      <t>/</t>
    </r>
    <r>
      <rPr>
        <sz val="12"/>
        <rFont val="宋体"/>
        <family val="3"/>
        <charset val="134"/>
      </rPr>
      <t xml:space="preserve">车位（个）
</t>
    </r>
    <r>
      <rPr>
        <sz val="12"/>
        <rFont val="Times New Roman"/>
        <family val="1"/>
      </rPr>
      <t>(</t>
    </r>
    <r>
      <rPr>
        <sz val="12"/>
        <rFont val="宋体"/>
        <family val="3"/>
        <charset val="134"/>
      </rPr>
      <t>㎡</t>
    </r>
    <r>
      <rPr>
        <sz val="12"/>
        <rFont val="Times New Roman"/>
        <family val="1"/>
      </rPr>
      <t>)</t>
    </r>
    <phoneticPr fontId="134" type="noConversion"/>
  </si>
  <si>
    <t>建成
年月</t>
  </si>
  <si>
    <t>账面价值</t>
  </si>
  <si>
    <t>评估价值</t>
  </si>
  <si>
    <t>增值率%</t>
  </si>
  <si>
    <t>备注</t>
  </si>
  <si>
    <t>土地证号</t>
  </si>
  <si>
    <t>宗地性质</t>
  </si>
  <si>
    <t>土地使用者</t>
  </si>
  <si>
    <t>土地面积</t>
  </si>
  <si>
    <t>土地座落</t>
  </si>
  <si>
    <t>原值</t>
  </si>
  <si>
    <t>净值</t>
  </si>
  <si>
    <r>
      <rPr>
        <sz val="11"/>
        <rFont val="宋体"/>
        <family val="3"/>
        <charset val="134"/>
      </rPr>
      <t>评估单价</t>
    </r>
    <r>
      <rPr>
        <sz val="11"/>
        <rFont val="Times New Roman"/>
        <family val="1"/>
      </rPr>
      <t>(</t>
    </r>
    <r>
      <rPr>
        <sz val="11"/>
        <rFont val="宋体"/>
        <family val="3"/>
        <charset val="134"/>
      </rPr>
      <t>元</t>
    </r>
    <r>
      <rPr>
        <sz val="11"/>
        <rFont val="Times New Roman"/>
        <family val="1"/>
      </rPr>
      <t>/</t>
    </r>
    <r>
      <rPr>
        <sz val="11"/>
        <rFont val="宋体"/>
        <family val="3"/>
        <charset val="134"/>
      </rPr>
      <t>㎡</t>
    </r>
    <r>
      <rPr>
        <sz val="11"/>
        <rFont val="Times New Roman"/>
        <family val="1"/>
      </rPr>
      <t>)</t>
    </r>
    <r>
      <rPr>
        <sz val="11"/>
        <rFont val="宋体"/>
        <family val="3"/>
        <charset val="134"/>
      </rPr>
      <t>、车位（万元</t>
    </r>
    <r>
      <rPr>
        <sz val="11"/>
        <rFont val="Times New Roman"/>
        <family val="1"/>
      </rPr>
      <t>/</t>
    </r>
    <r>
      <rPr>
        <sz val="11"/>
        <rFont val="宋体"/>
        <family val="3"/>
        <charset val="134"/>
      </rPr>
      <t xml:space="preserve">个）
</t>
    </r>
    <r>
      <rPr>
        <sz val="12"/>
        <rFont val="Times New Roman"/>
        <family val="1"/>
      </rPr>
      <t/>
    </r>
    <phoneticPr fontId="134" type="noConversion"/>
  </si>
  <si>
    <t>总价（万元）</t>
    <phoneticPr fontId="134" type="noConversion"/>
  </si>
  <si>
    <r>
      <rPr>
        <sz val="12"/>
        <rFont val="宋体"/>
        <family val="3"/>
        <charset val="134"/>
      </rPr>
      <t>唯一标识列</t>
    </r>
  </si>
  <si>
    <r>
      <t>朝全国用（</t>
    </r>
    <r>
      <rPr>
        <sz val="12"/>
        <rFont val="Times New Roman"/>
        <family val="1"/>
      </rPr>
      <t>96</t>
    </r>
    <r>
      <rPr>
        <sz val="12"/>
        <rFont val="宋体"/>
        <family val="3"/>
        <charset val="134"/>
      </rPr>
      <t>）字第</t>
    </r>
    <r>
      <rPr>
        <sz val="12"/>
        <rFont val="Times New Roman"/>
        <family val="1"/>
      </rPr>
      <t>01033</t>
    </r>
    <r>
      <rPr>
        <sz val="12"/>
        <rFont val="宋体"/>
        <family val="3"/>
        <charset val="134"/>
      </rPr>
      <t>号</t>
    </r>
    <phoneticPr fontId="274" type="noConversion"/>
  </si>
  <si>
    <t>划拨</t>
  </si>
  <si>
    <t>中国服装研究设计中心（集团）</t>
  </si>
  <si>
    <t>7195.9</t>
    <phoneticPr fontId="274" type="noConversion"/>
  </si>
  <si>
    <r>
      <t>朝阳区建国路</t>
    </r>
    <r>
      <rPr>
        <sz val="12"/>
        <rFont val="Times New Roman"/>
        <family val="1"/>
      </rPr>
      <t>99</t>
    </r>
    <r>
      <rPr>
        <sz val="12"/>
        <rFont val="宋体"/>
        <family val="3"/>
        <charset val="134"/>
      </rPr>
      <t>号</t>
    </r>
  </si>
  <si>
    <t>科研、设计</t>
  </si>
  <si>
    <t>京房权证朝国字第00580号</t>
    <phoneticPr fontId="274" type="noConversion"/>
  </si>
  <si>
    <t>中国服装集团公司</t>
    <phoneticPr fontId="274" type="noConversion"/>
  </si>
  <si>
    <t>中服大厦</t>
  </si>
  <si>
    <r>
      <rPr>
        <sz val="12"/>
        <rFont val="宋体"/>
        <family val="3"/>
        <charset val="134"/>
      </rPr>
      <t>北京朝阳区建国路</t>
    </r>
    <r>
      <rPr>
        <sz val="12"/>
        <rFont val="Times New Roman"/>
        <family val="1"/>
      </rPr>
      <t>99</t>
    </r>
    <r>
      <rPr>
        <sz val="12"/>
        <rFont val="宋体"/>
        <family val="3"/>
        <charset val="134"/>
      </rPr>
      <t>号</t>
    </r>
  </si>
  <si>
    <t>钢混</t>
  </si>
  <si>
    <t>99-20</t>
  </si>
  <si>
    <r>
      <t>24</t>
    </r>
    <r>
      <rPr>
        <sz val="12"/>
        <rFont val="宋体"/>
        <family val="3"/>
        <charset val="134"/>
      </rPr>
      <t>、</t>
    </r>
    <r>
      <rPr>
        <sz val="12"/>
        <rFont val="Times New Roman"/>
        <family val="1"/>
      </rPr>
      <t>26</t>
    </r>
    <r>
      <rPr>
        <sz val="12"/>
        <rFont val="宋体"/>
        <family val="3"/>
        <charset val="134"/>
      </rPr>
      <t>、</t>
    </r>
    <r>
      <rPr>
        <sz val="12"/>
        <rFont val="Times New Roman"/>
        <family val="1"/>
      </rPr>
      <t>27</t>
    </r>
    <r>
      <rPr>
        <sz val="12"/>
        <rFont val="宋体"/>
        <family val="3"/>
        <charset val="134"/>
      </rPr>
      <t>层</t>
    </r>
  </si>
  <si>
    <r>
      <rPr>
        <sz val="12"/>
        <rFont val="宋体"/>
        <family val="3"/>
        <charset val="134"/>
      </rPr>
      <t>地上</t>
    </r>
    <r>
      <rPr>
        <sz val="12"/>
        <rFont val="Times New Roman"/>
        <family val="1"/>
      </rPr>
      <t>27</t>
    </r>
    <r>
      <rPr>
        <sz val="12"/>
        <rFont val="宋体"/>
        <family val="3"/>
        <charset val="134"/>
      </rPr>
      <t>层，地下</t>
    </r>
    <r>
      <rPr>
        <sz val="12"/>
        <rFont val="Times New Roman"/>
        <family val="1"/>
      </rPr>
      <t>2</t>
    </r>
    <r>
      <rPr>
        <sz val="12"/>
        <rFont val="宋体"/>
        <family val="3"/>
        <charset val="134"/>
      </rPr>
      <t>层</t>
    </r>
  </si>
  <si>
    <t>出租</t>
  </si>
  <si>
    <t>证载房屋权利人存在更名的情况</t>
    <phoneticPr fontId="134" type="noConversion"/>
  </si>
  <si>
    <t>AR1</t>
  </si>
  <si>
    <t>京房权证朝国字第00582号</t>
    <phoneticPr fontId="274" type="noConversion"/>
  </si>
  <si>
    <t>99-10</t>
  </si>
  <si>
    <r>
      <t>2</t>
    </r>
    <r>
      <rPr>
        <sz val="12"/>
        <rFont val="宋体"/>
        <family val="3"/>
        <charset val="134"/>
      </rPr>
      <t>层</t>
    </r>
  </si>
  <si>
    <t>AR2</t>
  </si>
  <si>
    <t>99-15</t>
  </si>
  <si>
    <t>3层</t>
  </si>
  <si>
    <t>AR3</t>
  </si>
  <si>
    <t>99-17</t>
  </si>
  <si>
    <t>4层</t>
  </si>
  <si>
    <t>AR4</t>
  </si>
  <si>
    <t>99-18</t>
  </si>
  <si>
    <t>5层</t>
  </si>
  <si>
    <t>AR5</t>
  </si>
  <si>
    <t>6层</t>
  </si>
  <si>
    <t>AR6</t>
  </si>
  <si>
    <t>商业</t>
    <phoneticPr fontId="134" type="noConversion"/>
  </si>
  <si>
    <t>99-3</t>
  </si>
  <si>
    <r>
      <t>1</t>
    </r>
    <r>
      <rPr>
        <sz val="12"/>
        <rFont val="宋体"/>
        <family val="3"/>
        <charset val="134"/>
      </rPr>
      <t>层</t>
    </r>
  </si>
  <si>
    <t>AR7</t>
  </si>
  <si>
    <t>99-5</t>
  </si>
  <si>
    <t>AR8</t>
  </si>
  <si>
    <t>99-6</t>
  </si>
  <si>
    <t>AR9</t>
  </si>
  <si>
    <t>99-7</t>
  </si>
  <si>
    <t>AR10</t>
  </si>
  <si>
    <t>99-8</t>
  </si>
  <si>
    <t>AR11</t>
  </si>
  <si>
    <r>
      <rPr>
        <sz val="12"/>
        <rFont val="宋体"/>
        <family val="3"/>
        <charset val="134"/>
      </rPr>
      <t>北京朝阳区建国路</t>
    </r>
    <r>
      <rPr>
        <sz val="12"/>
        <rFont val="Times New Roman"/>
        <family val="1"/>
      </rPr>
      <t>99</t>
    </r>
    <r>
      <rPr>
        <sz val="12"/>
        <rFont val="宋体"/>
        <family val="3"/>
        <charset val="134"/>
      </rPr>
      <t>号</t>
    </r>
    <phoneticPr fontId="274" type="noConversion"/>
  </si>
  <si>
    <t>99-9</t>
  </si>
  <si>
    <t>AR12</t>
  </si>
  <si>
    <t>京房权证朝国字第00579号</t>
    <phoneticPr fontId="274" type="noConversion"/>
  </si>
  <si>
    <t>99-12</t>
  </si>
  <si>
    <t>自用</t>
  </si>
  <si>
    <t>99-21</t>
  </si>
  <si>
    <r>
      <t>25</t>
    </r>
    <r>
      <rPr>
        <sz val="12"/>
        <rFont val="宋体"/>
        <family val="3"/>
        <charset val="134"/>
      </rPr>
      <t>层</t>
    </r>
  </si>
  <si>
    <t>京房权证朝国字第00581号</t>
    <phoneticPr fontId="274" type="noConversion"/>
  </si>
  <si>
    <t>99-32</t>
  </si>
  <si>
    <r>
      <t>20</t>
    </r>
    <r>
      <rPr>
        <sz val="12"/>
        <rFont val="宋体"/>
        <family val="3"/>
        <charset val="134"/>
      </rPr>
      <t>、21层</t>
    </r>
  </si>
  <si>
    <t>京房权证朝国字第00583号</t>
    <phoneticPr fontId="274" type="noConversion"/>
  </si>
  <si>
    <t>99-22</t>
  </si>
  <si>
    <r>
      <t>11</t>
    </r>
    <r>
      <rPr>
        <sz val="12"/>
        <rFont val="宋体"/>
        <family val="3"/>
        <charset val="134"/>
      </rPr>
      <t>层</t>
    </r>
  </si>
  <si>
    <t>AR13</t>
  </si>
  <si>
    <t>99-26</t>
  </si>
  <si>
    <r>
      <t>19</t>
    </r>
    <r>
      <rPr>
        <sz val="12"/>
        <rFont val="宋体"/>
        <family val="3"/>
        <charset val="134"/>
      </rPr>
      <t>层</t>
    </r>
  </si>
  <si>
    <t>99-28</t>
  </si>
  <si>
    <t>朝全字第12693号</t>
    <phoneticPr fontId="274" type="noConversion"/>
  </si>
  <si>
    <t>中国化纤总公司</t>
    <phoneticPr fontId="274" type="noConversion"/>
  </si>
  <si>
    <t>99-33</t>
  </si>
  <si>
    <r>
      <t>22-23</t>
    </r>
    <r>
      <rPr>
        <sz val="12"/>
        <rFont val="宋体"/>
        <family val="3"/>
        <charset val="134"/>
      </rPr>
      <t>层</t>
    </r>
  </si>
  <si>
    <t>朝全字第12691号</t>
    <phoneticPr fontId="274" type="noConversion"/>
  </si>
  <si>
    <t>中国纺织机械和技术进出口公司</t>
    <phoneticPr fontId="274" type="noConversion"/>
  </si>
  <si>
    <t>99-31</t>
  </si>
  <si>
    <r>
      <t>16-18</t>
    </r>
    <r>
      <rPr>
        <sz val="12"/>
        <rFont val="宋体"/>
        <family val="3"/>
        <charset val="134"/>
      </rPr>
      <t>层</t>
    </r>
  </si>
  <si>
    <t>99-30</t>
  </si>
  <si>
    <t>朝全字第12692号</t>
    <phoneticPr fontId="274" type="noConversion"/>
  </si>
  <si>
    <t>中国纺织机械（集团）有限公司</t>
    <phoneticPr fontId="274" type="noConversion"/>
  </si>
  <si>
    <t>99-19</t>
  </si>
  <si>
    <t>AR16</t>
  </si>
  <si>
    <t>99-25</t>
  </si>
  <si>
    <r>
      <t>12-15</t>
    </r>
    <r>
      <rPr>
        <sz val="12"/>
        <rFont val="宋体"/>
        <family val="3"/>
        <charset val="134"/>
      </rPr>
      <t>层</t>
    </r>
  </si>
  <si>
    <t>X京房权证朝字第1274411号</t>
    <phoneticPr fontId="274" type="noConversion"/>
  </si>
  <si>
    <t>中国包装总公司</t>
  </si>
  <si>
    <r>
      <rPr>
        <sz val="12"/>
        <rFont val="宋体"/>
        <family val="3"/>
        <charset val="134"/>
      </rPr>
      <t>朝阳区建国路</t>
    </r>
    <r>
      <rPr>
        <sz val="12"/>
        <rFont val="Times New Roman"/>
        <family val="1"/>
      </rPr>
      <t>99</t>
    </r>
    <r>
      <rPr>
        <sz val="12"/>
        <rFont val="宋体"/>
        <family val="3"/>
        <charset val="134"/>
      </rPr>
      <t>号</t>
    </r>
    <r>
      <rPr>
        <sz val="12"/>
        <rFont val="Times New Roman"/>
        <family val="1"/>
      </rPr>
      <t>8</t>
    </r>
    <r>
      <rPr>
        <sz val="12"/>
        <rFont val="宋体"/>
        <family val="3"/>
        <charset val="134"/>
      </rPr>
      <t>层</t>
    </r>
    <r>
      <rPr>
        <sz val="12"/>
        <rFont val="Times New Roman"/>
        <family val="1"/>
      </rPr>
      <t>99-18-1</t>
    </r>
  </si>
  <si>
    <t>99-18-1</t>
  </si>
  <si>
    <r>
      <t>8</t>
    </r>
    <r>
      <rPr>
        <sz val="12"/>
        <rFont val="宋体"/>
        <family val="3"/>
        <charset val="134"/>
      </rPr>
      <t>层</t>
    </r>
  </si>
  <si>
    <t>X京房权证朝字第1274502号</t>
  </si>
  <si>
    <r>
      <rPr>
        <sz val="12"/>
        <rFont val="宋体"/>
        <family val="3"/>
        <charset val="134"/>
      </rPr>
      <t>朝阳区建国路</t>
    </r>
    <r>
      <rPr>
        <sz val="12"/>
        <rFont val="Times New Roman"/>
        <family val="1"/>
      </rPr>
      <t>99</t>
    </r>
    <r>
      <rPr>
        <sz val="12"/>
        <rFont val="宋体"/>
        <family val="3"/>
        <charset val="134"/>
      </rPr>
      <t>号</t>
    </r>
    <r>
      <rPr>
        <sz val="12"/>
        <rFont val="Times New Roman"/>
        <family val="1"/>
      </rPr>
      <t>9</t>
    </r>
    <r>
      <rPr>
        <sz val="12"/>
        <rFont val="宋体"/>
        <family val="3"/>
        <charset val="134"/>
      </rPr>
      <t>层</t>
    </r>
    <r>
      <rPr>
        <sz val="12"/>
        <rFont val="Times New Roman"/>
        <family val="1"/>
      </rPr>
      <t>99-24-1</t>
    </r>
  </si>
  <si>
    <t>99-24-1</t>
  </si>
  <si>
    <r>
      <t>9</t>
    </r>
    <r>
      <rPr>
        <sz val="12"/>
        <rFont val="宋体"/>
        <family val="3"/>
        <charset val="134"/>
      </rPr>
      <t>层</t>
    </r>
  </si>
  <si>
    <t>X京房权证朝字第1274503号</t>
  </si>
  <si>
    <r>
      <rPr>
        <sz val="12"/>
        <rFont val="宋体"/>
        <family val="3"/>
        <charset val="134"/>
      </rPr>
      <t>朝阳区建国路</t>
    </r>
    <r>
      <rPr>
        <sz val="12"/>
        <rFont val="Times New Roman"/>
        <family val="1"/>
      </rPr>
      <t>99</t>
    </r>
    <r>
      <rPr>
        <sz val="12"/>
        <rFont val="宋体"/>
        <family val="3"/>
        <charset val="134"/>
      </rPr>
      <t>号</t>
    </r>
    <r>
      <rPr>
        <sz val="12"/>
        <rFont val="Times New Roman"/>
        <family val="1"/>
      </rPr>
      <t>10</t>
    </r>
    <r>
      <rPr>
        <sz val="12"/>
        <rFont val="宋体"/>
        <family val="3"/>
        <charset val="134"/>
      </rPr>
      <t>层</t>
    </r>
    <r>
      <rPr>
        <sz val="12"/>
        <rFont val="Times New Roman"/>
        <family val="1"/>
      </rPr>
      <t>99-24-2</t>
    </r>
  </si>
  <si>
    <t>99-24-2</t>
  </si>
  <si>
    <r>
      <t>10</t>
    </r>
    <r>
      <rPr>
        <sz val="12"/>
        <rFont val="宋体"/>
        <family val="3"/>
        <charset val="134"/>
      </rPr>
      <t>层</t>
    </r>
  </si>
  <si>
    <t>X京房权证朝字第1274416号</t>
  </si>
  <si>
    <r>
      <rPr>
        <sz val="12"/>
        <rFont val="宋体"/>
        <family val="3"/>
        <charset val="134"/>
      </rPr>
      <t>朝阳区建国路</t>
    </r>
    <r>
      <rPr>
        <sz val="12"/>
        <rFont val="Times New Roman"/>
        <family val="1"/>
      </rPr>
      <t>99</t>
    </r>
    <r>
      <rPr>
        <sz val="12"/>
        <rFont val="宋体"/>
        <family val="3"/>
        <charset val="134"/>
      </rPr>
      <t>号</t>
    </r>
    <r>
      <rPr>
        <sz val="12"/>
        <rFont val="Times New Roman"/>
        <family val="1"/>
      </rPr>
      <t>11</t>
    </r>
    <r>
      <rPr>
        <sz val="12"/>
        <rFont val="宋体"/>
        <family val="3"/>
        <charset val="134"/>
      </rPr>
      <t>层</t>
    </r>
    <r>
      <rPr>
        <sz val="12"/>
        <rFont val="Times New Roman"/>
        <family val="1"/>
      </rPr>
      <t>99-23</t>
    </r>
  </si>
  <si>
    <t>99-23</t>
  </si>
  <si>
    <t>AR17</t>
  </si>
  <si>
    <r>
      <t>京朝国用（</t>
    </r>
    <r>
      <rPr>
        <sz val="12"/>
        <rFont val="Times New Roman"/>
        <family val="1"/>
      </rPr>
      <t>2005</t>
    </r>
    <r>
      <rPr>
        <sz val="12"/>
        <rFont val="宋体"/>
        <family val="3"/>
        <charset val="134"/>
      </rPr>
      <t>出）第</t>
    </r>
    <r>
      <rPr>
        <sz val="12"/>
        <rFont val="Times New Roman"/>
        <family val="1"/>
      </rPr>
      <t>0511</t>
    </r>
    <r>
      <rPr>
        <sz val="12"/>
        <rFont val="宋体"/>
        <family val="3"/>
        <charset val="134"/>
      </rPr>
      <t>号</t>
    </r>
    <phoneticPr fontId="274" type="noConversion"/>
  </si>
  <si>
    <t>中国恒天集团公司</t>
  </si>
  <si>
    <t>京房权证朝国05字第002096号</t>
  </si>
  <si>
    <t>中国恒天集团公司</t>
    <phoneticPr fontId="274" type="noConversion"/>
  </si>
  <si>
    <r>
      <t>7</t>
    </r>
    <r>
      <rPr>
        <sz val="12"/>
        <rFont val="宋体"/>
        <family val="3"/>
        <charset val="134"/>
      </rPr>
      <t>层</t>
    </r>
  </si>
  <si>
    <t>-</t>
    <phoneticPr fontId="134" type="noConversion"/>
  </si>
  <si>
    <t>地上车位</t>
    <phoneticPr fontId="274" type="noConversion"/>
  </si>
  <si>
    <r>
      <rPr>
        <sz val="12"/>
        <rFont val="宋体"/>
        <family val="3"/>
        <charset val="134"/>
      </rPr>
      <t>地上</t>
    </r>
    <r>
      <rPr>
        <sz val="12"/>
        <rFont val="Times New Roman"/>
        <family val="1"/>
      </rPr>
      <t>1</t>
    </r>
    <r>
      <rPr>
        <sz val="12"/>
        <rFont val="宋体"/>
        <family val="3"/>
        <charset val="134"/>
      </rPr>
      <t>层</t>
    </r>
    <phoneticPr fontId="274" type="noConversion"/>
  </si>
  <si>
    <t>-</t>
    <phoneticPr fontId="134" type="noConversion"/>
  </si>
  <si>
    <t>使用权车位</t>
    <phoneticPr fontId="134" type="noConversion"/>
  </si>
  <si>
    <t>-</t>
    <phoneticPr fontId="134" type="noConversion"/>
  </si>
  <si>
    <t>地下车位</t>
    <phoneticPr fontId="274" type="noConversion"/>
  </si>
  <si>
    <r>
      <rPr>
        <sz val="12"/>
        <rFont val="宋体"/>
        <family val="3"/>
        <charset val="134"/>
      </rPr>
      <t>地下</t>
    </r>
    <r>
      <rPr>
        <sz val="12"/>
        <rFont val="Times New Roman"/>
        <family val="1"/>
      </rPr>
      <t>1</t>
    </r>
    <r>
      <rPr>
        <sz val="12"/>
        <rFont val="宋体"/>
        <family val="3"/>
        <charset val="134"/>
      </rPr>
      <t>层</t>
    </r>
    <phoneticPr fontId="274" type="noConversion"/>
  </si>
  <si>
    <t>房屋建筑物合计</t>
  </si>
  <si>
    <t>减：房屋建筑物减值准备</t>
  </si>
  <si>
    <t>房屋建筑物净额</t>
  </si>
  <si>
    <r>
      <rPr>
        <sz val="12"/>
        <rFont val="宋体"/>
        <family val="3"/>
        <charset val="134"/>
      </rPr>
      <t>打印边界</t>
    </r>
  </si>
  <si>
    <r>
      <rPr>
        <sz val="12"/>
        <rFont val="宋体"/>
        <family val="3"/>
        <charset val="134"/>
      </rPr>
      <t>填表日期：年</t>
    </r>
    <r>
      <rPr>
        <sz val="12"/>
        <rFont val="Times New Roman"/>
        <family val="1"/>
      </rPr>
      <t>1</t>
    </r>
    <r>
      <rPr>
        <sz val="12"/>
        <rFont val="宋体"/>
        <family val="3"/>
        <charset val="134"/>
      </rPr>
      <t>月</t>
    </r>
    <r>
      <rPr>
        <sz val="12"/>
        <rFont val="Times New Roman"/>
        <family val="1"/>
      </rPr>
      <t>0</t>
    </r>
    <r>
      <rPr>
        <sz val="12"/>
        <rFont val="宋体"/>
        <family val="3"/>
        <charset val="134"/>
      </rPr>
      <t>日</t>
    </r>
  </si>
  <si>
    <t>现状商业</t>
    <phoneticPr fontId="134" type="noConversion"/>
  </si>
  <si>
    <t>1层</t>
  </si>
  <si>
    <t>1层</t>
    <phoneticPr fontId="134" type="noConversion"/>
  </si>
  <si>
    <r>
      <t>2</t>
    </r>
    <r>
      <rPr>
        <sz val="12"/>
        <rFont val="宋体"/>
        <family val="3"/>
        <charset val="134"/>
      </rPr>
      <t>层</t>
    </r>
    <phoneticPr fontId="134" type="noConversion"/>
  </si>
  <si>
    <r>
      <t>3</t>
    </r>
    <r>
      <rPr>
        <sz val="12"/>
        <rFont val="宋体"/>
        <family val="3"/>
        <charset val="134"/>
      </rPr>
      <t>层</t>
    </r>
    <phoneticPr fontId="134" type="noConversion"/>
  </si>
  <si>
    <r>
      <t>4</t>
    </r>
    <r>
      <rPr>
        <sz val="12"/>
        <rFont val="宋体"/>
        <family val="3"/>
        <charset val="134"/>
      </rPr>
      <t>层</t>
    </r>
    <phoneticPr fontId="134" type="noConversion"/>
  </si>
  <si>
    <t>小计</t>
    <phoneticPr fontId="134" type="noConversion"/>
  </si>
  <si>
    <t>办公</t>
    <phoneticPr fontId="134" type="noConversion"/>
  </si>
  <si>
    <t>地上</t>
  </si>
  <si>
    <t>是</t>
  </si>
  <si>
    <t>北京市</t>
  </si>
  <si>
    <t>企业</t>
  </si>
  <si>
    <t>直线</t>
    <phoneticPr fontId="3" type="noConversion"/>
  </si>
  <si>
    <t>观察</t>
    <phoneticPr fontId="3" type="noConversion"/>
  </si>
  <si>
    <t>成新度</t>
  </si>
  <si>
    <t>收益法</t>
  </si>
  <si>
    <t>押一</t>
  </si>
  <si>
    <t>非生产用房</t>
  </si>
  <si>
    <t>否</t>
  </si>
  <si>
    <t>项目模式</t>
  </si>
  <si>
    <t>售价</t>
  </si>
  <si>
    <t>商务金融用地</t>
  </si>
  <si>
    <t>自定义容积率</t>
  </si>
  <si>
    <t>好</t>
  </si>
  <si>
    <t>较好</t>
  </si>
  <si>
    <t>未包含在土地购买价格中</t>
  </si>
  <si>
    <t>全部缴纳</t>
  </si>
  <si>
    <t>已包含在土地取得成本中</t>
  </si>
  <si>
    <t>收益法(商业)</t>
  </si>
  <si>
    <t>收益法(商业)</t>
    <phoneticPr fontId="16" type="noConversion"/>
  </si>
  <si>
    <t>成本法</t>
  </si>
  <si>
    <t>比较法-办公</t>
  </si>
  <si>
    <r>
      <t>1</t>
    </r>
    <r>
      <rPr>
        <sz val="10"/>
        <color indexed="8"/>
        <rFont val="宋体"/>
        <family val="3"/>
        <charset val="134"/>
      </rPr>
      <t>层</t>
    </r>
    <phoneticPr fontId="24" type="noConversion"/>
  </si>
  <si>
    <r>
      <t>2</t>
    </r>
    <r>
      <rPr>
        <sz val="10"/>
        <color indexed="8"/>
        <rFont val="宋体"/>
        <family val="3"/>
        <charset val="134"/>
      </rPr>
      <t>层</t>
    </r>
    <phoneticPr fontId="24" type="noConversion"/>
  </si>
  <si>
    <r>
      <t>3</t>
    </r>
    <r>
      <rPr>
        <sz val="10"/>
        <color indexed="8"/>
        <rFont val="宋体"/>
        <family val="3"/>
        <charset val="134"/>
      </rPr>
      <t>层</t>
    </r>
    <phoneticPr fontId="24" type="noConversion"/>
  </si>
  <si>
    <r>
      <t>4</t>
    </r>
    <r>
      <rPr>
        <sz val="10"/>
        <color indexed="8"/>
        <rFont val="宋体"/>
        <family val="3"/>
        <charset val="134"/>
      </rPr>
      <t>层</t>
    </r>
    <phoneticPr fontId="24" type="noConversion"/>
  </si>
  <si>
    <t>2层</t>
  </si>
  <si>
    <t>典型户型修正</t>
  </si>
  <si>
    <t>总价</t>
  </si>
  <si>
    <r>
      <t>京房权证朝国用0</t>
    </r>
    <r>
      <rPr>
        <sz val="11"/>
        <color theme="1"/>
        <rFont val="宋体"/>
        <family val="3"/>
        <charset val="134"/>
        <scheme val="minor"/>
      </rPr>
      <t>5字第002096号</t>
    </r>
    <phoneticPr fontId="134" type="noConversion"/>
  </si>
  <si>
    <t>出让</t>
    <phoneticPr fontId="134" type="noConversion"/>
  </si>
  <si>
    <t>办公</t>
    <phoneticPr fontId="134" type="noConversion"/>
  </si>
  <si>
    <t>建筑面积</t>
    <phoneticPr fontId="134" type="noConversion"/>
  </si>
  <si>
    <t>房号</t>
    <phoneticPr fontId="134" type="noConversion"/>
  </si>
  <si>
    <t>楼层</t>
    <phoneticPr fontId="134" type="noConversion"/>
  </si>
  <si>
    <t>99-18</t>
    <phoneticPr fontId="134" type="noConversion"/>
  </si>
  <si>
    <r>
      <t>朝全字第1</t>
    </r>
    <r>
      <rPr>
        <sz val="11"/>
        <color theme="1"/>
        <rFont val="宋体"/>
        <family val="3"/>
        <charset val="134"/>
        <scheme val="minor"/>
      </rPr>
      <t>2691号</t>
    </r>
    <phoneticPr fontId="134" type="noConversion"/>
  </si>
  <si>
    <t>？</t>
    <phoneticPr fontId="134" type="noConversion"/>
  </si>
  <si>
    <t>99-30</t>
    <phoneticPr fontId="134" type="noConversion"/>
  </si>
  <si>
    <t>？</t>
    <phoneticPr fontId="134" type="noConversion"/>
  </si>
  <si>
    <t>99-31</t>
    <phoneticPr fontId="134" type="noConversion"/>
  </si>
  <si>
    <r>
      <t>1</t>
    </r>
    <r>
      <rPr>
        <sz val="11"/>
        <color theme="1"/>
        <rFont val="宋体"/>
        <family val="3"/>
        <charset val="134"/>
        <scheme val="minor"/>
      </rPr>
      <t>6-18</t>
    </r>
    <phoneticPr fontId="134" type="noConversion"/>
  </si>
  <si>
    <t>朝全字第12692号</t>
    <phoneticPr fontId="134" type="noConversion"/>
  </si>
  <si>
    <t>99-19</t>
    <phoneticPr fontId="134" type="noConversion"/>
  </si>
  <si>
    <r>
      <t>9</t>
    </r>
    <r>
      <rPr>
        <sz val="11"/>
        <color theme="1"/>
        <rFont val="宋体"/>
        <family val="3"/>
        <charset val="134"/>
        <scheme val="minor"/>
      </rPr>
      <t>9-21</t>
    </r>
    <phoneticPr fontId="134" type="noConversion"/>
  </si>
  <si>
    <t>99-25</t>
    <phoneticPr fontId="134" type="noConversion"/>
  </si>
  <si>
    <t>12-15</t>
    <phoneticPr fontId="134" type="noConversion"/>
  </si>
  <si>
    <r>
      <t>京房权证朝国字第0</t>
    </r>
    <r>
      <rPr>
        <sz val="11"/>
        <color theme="1"/>
        <rFont val="宋体"/>
        <family val="3"/>
        <charset val="134"/>
        <scheme val="minor"/>
      </rPr>
      <t>0579号</t>
    </r>
    <phoneticPr fontId="134" type="noConversion"/>
  </si>
  <si>
    <t>99-12</t>
    <phoneticPr fontId="134" type="noConversion"/>
  </si>
  <si>
    <t>实际用途</t>
    <phoneticPr fontId="134" type="noConversion"/>
  </si>
  <si>
    <t>99-21</t>
    <phoneticPr fontId="134" type="noConversion"/>
  </si>
  <si>
    <t>京房权证朝国字第00580号</t>
    <phoneticPr fontId="134" type="noConversion"/>
  </si>
  <si>
    <t>99-20</t>
    <phoneticPr fontId="134" type="noConversion"/>
  </si>
  <si>
    <t>24-27</t>
    <phoneticPr fontId="134" type="noConversion"/>
  </si>
  <si>
    <t>京房权证朝国字第00581号</t>
    <phoneticPr fontId="134" type="noConversion"/>
  </si>
  <si>
    <t>99-32</t>
    <phoneticPr fontId="134" type="noConversion"/>
  </si>
  <si>
    <t>20-21</t>
    <phoneticPr fontId="134" type="noConversion"/>
  </si>
  <si>
    <t>京房权证朝国字第00582号</t>
    <phoneticPr fontId="134" type="noConversion"/>
  </si>
  <si>
    <t>商业</t>
    <phoneticPr fontId="134" type="noConversion"/>
  </si>
  <si>
    <t>99-10</t>
    <phoneticPr fontId="134" type="noConversion"/>
  </si>
  <si>
    <t>99-3</t>
    <phoneticPr fontId="134" type="noConversion"/>
  </si>
  <si>
    <t>99-7</t>
    <phoneticPr fontId="134" type="noConversion"/>
  </si>
  <si>
    <t>99-17</t>
    <phoneticPr fontId="134" type="noConversion"/>
  </si>
  <si>
    <t>99-9</t>
    <phoneticPr fontId="134" type="noConversion"/>
  </si>
  <si>
    <t>99-8</t>
    <phoneticPr fontId="134" type="noConversion"/>
  </si>
  <si>
    <t>99-15</t>
    <phoneticPr fontId="134" type="noConversion"/>
  </si>
  <si>
    <t>99-6</t>
    <phoneticPr fontId="134" type="noConversion"/>
  </si>
  <si>
    <t>99-5</t>
    <phoneticPr fontId="134" type="noConversion"/>
  </si>
  <si>
    <t>京房权证朝国字第00583号</t>
    <phoneticPr fontId="134" type="noConversion"/>
  </si>
  <si>
    <t>99-22</t>
    <phoneticPr fontId="134" type="noConversion"/>
  </si>
  <si>
    <t>99-26</t>
    <phoneticPr fontId="134" type="noConversion"/>
  </si>
  <si>
    <t>99-28</t>
    <phoneticPr fontId="134" type="noConversion"/>
  </si>
  <si>
    <t>朝全字第12693号</t>
    <phoneticPr fontId="134" type="noConversion"/>
  </si>
  <si>
    <t>99-33</t>
    <phoneticPr fontId="134" type="noConversion"/>
  </si>
  <si>
    <t>22-23</t>
    <phoneticPr fontId="134" type="noConversion"/>
  </si>
  <si>
    <t>1层</t>
    <phoneticPr fontId="134" type="noConversion"/>
  </si>
  <si>
    <t>2层</t>
    <phoneticPr fontId="134" type="noConversion"/>
  </si>
  <si>
    <t>3层</t>
    <phoneticPr fontId="134" type="noConversion"/>
  </si>
  <si>
    <t>4层</t>
    <phoneticPr fontId="134" type="noConversion"/>
  </si>
  <si>
    <t>京央（2022）市不动产权第0000943号</t>
    <phoneticPr fontId="134" type="noConversion"/>
  </si>
  <si>
    <t>京央（2022）市不动产权第0000942号</t>
    <phoneticPr fontId="134" type="noConversion"/>
  </si>
  <si>
    <t>序号</t>
    <phoneticPr fontId="134" type="noConversion"/>
  </si>
  <si>
    <t>坐落</t>
    <phoneticPr fontId="134" type="noConversion"/>
  </si>
  <si>
    <t>房号</t>
    <phoneticPr fontId="134" type="noConversion"/>
  </si>
  <si>
    <t>楼层</t>
    <phoneticPr fontId="134" type="noConversion"/>
  </si>
  <si>
    <t>建筑面积</t>
    <phoneticPr fontId="134" type="noConversion"/>
  </si>
  <si>
    <t>用途</t>
    <phoneticPr fontId="134" type="noConversion"/>
  </si>
  <si>
    <t>产权性质</t>
    <phoneticPr fontId="134" type="noConversion"/>
  </si>
  <si>
    <t>土地终止日期</t>
    <phoneticPr fontId="134" type="noConversion"/>
  </si>
  <si>
    <r>
      <t>朝阳区建国路9</t>
    </r>
    <r>
      <rPr>
        <sz val="11"/>
        <color theme="1"/>
        <rFont val="宋体"/>
        <family val="3"/>
        <charset val="134"/>
        <scheme val="minor"/>
      </rPr>
      <t>9号</t>
    </r>
    <phoneticPr fontId="134" type="noConversion"/>
  </si>
  <si>
    <t>产权人</t>
    <phoneticPr fontId="134" type="noConversion"/>
  </si>
  <si>
    <t>出让</t>
    <phoneticPr fontId="134" type="noConversion"/>
  </si>
  <si>
    <t>中国服装集团公司</t>
    <phoneticPr fontId="134" type="noConversion"/>
  </si>
  <si>
    <t>土地证</t>
    <phoneticPr fontId="134" type="noConversion"/>
  </si>
  <si>
    <t>京朝国用（2005出）第0511号</t>
    <phoneticPr fontId="134" type="noConversion"/>
  </si>
  <si>
    <t>？</t>
    <phoneticPr fontId="134" type="noConversion"/>
  </si>
  <si>
    <t>中国纺织机械（集团）有限公司</t>
    <phoneticPr fontId="134" type="noConversion"/>
  </si>
  <si>
    <t>新不动产权证</t>
    <phoneticPr fontId="134" type="noConversion"/>
  </si>
  <si>
    <t>24、26、27</t>
    <phoneticPr fontId="134" type="noConversion"/>
  </si>
  <si>
    <t>问题:</t>
    <phoneticPr fontId="134" type="noConversion"/>
  </si>
  <si>
    <t>2、产权性质表底色的3套是否为划拨？需确认是否在新办理的不动产权证划拨那个本上，需看下新办理划拨那个不动产权证的房产清单。</t>
    <phoneticPr fontId="134" type="noConversion"/>
  </si>
  <si>
    <t>3、其它产权性质为出让的，除恒天集团名下7层有明确终止日期，其余没有，补缴出让金时间，可提供票据或说明确认年期。</t>
    <phoneticPr fontId="134" type="noConversion"/>
  </si>
  <si>
    <t>1、19层标黄两套在中国服装名下的是否在这次评估范围？</t>
    <phoneticPr fontId="134" type="noConversion"/>
  </si>
  <si>
    <t>房产证</t>
    <phoneticPr fontId="134" type="noConversion"/>
  </si>
  <si>
    <t>划拨</t>
    <phoneticPr fontId="134" type="noConversion"/>
  </si>
  <si>
    <t>办公出让</t>
  </si>
  <si>
    <t>办公出让</t>
    <phoneticPr fontId="7" type="noConversion"/>
  </si>
  <si>
    <t>办公划拨</t>
  </si>
  <si>
    <t>办公划拨</t>
    <phoneticPr fontId="7" type="noConversion"/>
  </si>
  <si>
    <t>通路</t>
  </si>
  <si>
    <t>通电</t>
  </si>
  <si>
    <t>通讯</t>
  </si>
  <si>
    <t>通上水</t>
  </si>
  <si>
    <t>通下水</t>
  </si>
  <si>
    <t>燃气</t>
  </si>
  <si>
    <t>平整</t>
  </si>
  <si>
    <t>与级别开发程度不一致</t>
  </si>
  <si>
    <t>收益法(划拨)</t>
  </si>
  <si>
    <t>收益法(划拨)</t>
    <phoneticPr fontId="16" type="noConversion"/>
  </si>
  <si>
    <t>成本法(划拨)</t>
  </si>
  <si>
    <t>成本法(划拨)</t>
    <phoneticPr fontId="16" type="noConversion"/>
  </si>
  <si>
    <t>办公出让</t>
    <phoneticPr fontId="134" type="noConversion"/>
  </si>
  <si>
    <t>办公划拨</t>
    <phoneticPr fontId="134" type="noConversion"/>
  </si>
  <si>
    <t>租金</t>
  </si>
  <si>
    <t>富尔大厦</t>
    <phoneticPr fontId="3" type="noConversion"/>
  </si>
  <si>
    <t>住总大厦</t>
    <phoneticPr fontId="3" type="noConversion"/>
  </si>
  <si>
    <t>北京财富中心</t>
    <phoneticPr fontId="3" type="noConversion"/>
  </si>
  <si>
    <t>正常</t>
  </si>
  <si>
    <t>挂牌</t>
  </si>
  <si>
    <t>挂牌</t>
    <phoneticPr fontId="31" type="noConversion"/>
  </si>
  <si>
    <t>办公</t>
    <phoneticPr fontId="31" type="noConversion"/>
  </si>
  <si>
    <t>七通</t>
  </si>
  <si>
    <t>标准写字楼</t>
  </si>
  <si>
    <t>标准写字楼</t>
    <phoneticPr fontId="31" type="noConversion"/>
  </si>
  <si>
    <t>商务楼</t>
  </si>
  <si>
    <t>商务楼</t>
    <phoneticPr fontId="31" type="noConversion"/>
  </si>
  <si>
    <t>吴薇</t>
  </si>
  <si>
    <t>中国恒天集团公司</t>
    <phoneticPr fontId="134" type="noConversion"/>
  </si>
  <si>
    <t>中国纺织机械和技术进出口公司</t>
    <phoneticPr fontId="134" type="noConversion"/>
  </si>
  <si>
    <t>中国化纤总公司</t>
    <phoneticPr fontId="134" type="noConversion"/>
  </si>
  <si>
    <t>基准地价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</si>
</sst>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6">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_(* #,##0.00_);_(* \(#,##0.00\);_(* &quot;-&quot;??_);_(@_)"/>
    <numFmt numFmtId="198" formatCode="[$￥-804]#,##0.000_);\([$￥-804]#,##0.000\)"/>
    <numFmt numFmtId="199" formatCode="000000"/>
    <numFmt numFmtId="200" formatCode="#,##0_ "/>
    <numFmt numFmtId="201" formatCode="#,##0.0_ "/>
  </numFmts>
  <fonts count="27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12"/>
      <name val="Times New Roman"/>
      <family val="1"/>
    </font>
    <font>
      <sz val="12"/>
      <name val="Times New Roman"/>
      <family val="1"/>
    </font>
    <font>
      <sz val="22"/>
      <name val="黑体"/>
      <family val="3"/>
      <charset val="134"/>
    </font>
    <font>
      <sz val="12"/>
      <name val="黑体"/>
      <family val="3"/>
      <charset val="134"/>
    </font>
    <font>
      <sz val="14"/>
      <name val="Times New Roman"/>
      <family val="1"/>
    </font>
    <font>
      <sz val="9"/>
      <name val="Times New Roman"/>
      <family val="1"/>
    </font>
    <font>
      <sz val="12"/>
      <name val="Times New Roman"/>
      <family val="3"/>
      <charset val="134"/>
    </font>
    <font>
      <sz val="11"/>
      <color indexed="17"/>
      <name val="宋体"/>
      <family val="3"/>
      <charset val="134"/>
    </font>
    <font>
      <sz val="11"/>
      <name val="Times New Roman"/>
      <family val="3"/>
      <charset val="134"/>
    </font>
    <font>
      <sz val="11"/>
      <name val="Times New Roman"/>
      <family val="1"/>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indexed="42"/>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3">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191" fontId="276" fillId="22" borderId="0">
      <alignment vertical="center"/>
    </xf>
    <xf numFmtId="198" fontId="3" fillId="0" borderId="0">
      <protection locked="0"/>
    </xf>
    <xf numFmtId="197" fontId="36" fillId="0" borderId="0" applyFont="0" applyFill="0" applyBorder="0" applyAlignment="0" applyProtection="0"/>
    <xf numFmtId="0" fontId="270" fillId="0" borderId="0"/>
  </cellStyleXfs>
  <cellXfs count="400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269" fillId="0" borderId="0" xfId="0" applyFont="1" applyFill="1" applyAlignment="1" applyProtection="1">
      <alignment horizontal="center" vertical="center"/>
      <protection locked="0" hidden="1"/>
    </xf>
    <xf numFmtId="196" fontId="270" fillId="0" borderId="0" xfId="0" applyNumberFormat="1" applyFont="1" applyFill="1" applyAlignment="1">
      <alignment horizontal="center" vertical="center"/>
    </xf>
    <xf numFmtId="196" fontId="272" fillId="0" borderId="0" xfId="0" applyNumberFormat="1" applyFont="1" applyFill="1" applyAlignment="1">
      <alignment horizontal="center" vertical="center" wrapText="1"/>
    </xf>
    <xf numFmtId="196" fontId="272" fillId="0" borderId="0" xfId="0" applyNumberFormat="1" applyFont="1" applyFill="1" applyAlignment="1">
      <alignment horizontal="center" vertical="center"/>
    </xf>
    <xf numFmtId="0" fontId="36" fillId="0" borderId="0" xfId="0" applyFont="1" applyFill="1" applyAlignment="1">
      <alignment horizontal="center" vertical="center"/>
    </xf>
    <xf numFmtId="49" fontId="94" fillId="0" borderId="1" xfId="19" applyNumberFormat="1" applyFont="1" applyFill="1" applyBorder="1" applyAlignment="1">
      <alignment horizontal="center" vertical="center" wrapText="1" shrinkToFit="1"/>
    </xf>
    <xf numFmtId="197" fontId="270" fillId="0" borderId="22" xfId="0" applyNumberFormat="1" applyFont="1" applyFill="1" applyBorder="1" applyAlignment="1">
      <alignment horizontal="center" vertical="center" shrinkToFit="1"/>
    </xf>
    <xf numFmtId="197" fontId="270" fillId="0" borderId="13" xfId="0" applyNumberFormat="1" applyFont="1" applyFill="1" applyBorder="1" applyAlignment="1">
      <alignment horizontal="center" vertical="center" shrinkToFit="1"/>
    </xf>
    <xf numFmtId="197" fontId="277" fillId="0" borderId="13" xfId="0" applyNumberFormat="1" applyFont="1" applyFill="1" applyBorder="1" applyAlignment="1">
      <alignment horizontal="center" vertical="center" wrapText="1" shrinkToFit="1"/>
    </xf>
    <xf numFmtId="197" fontId="36" fillId="0" borderId="13" xfId="0" applyNumberFormat="1" applyFont="1" applyFill="1" applyBorder="1" applyAlignment="1">
      <alignment horizontal="center" vertical="center" wrapText="1" shrinkToFit="1"/>
    </xf>
    <xf numFmtId="0" fontId="270" fillId="0" borderId="1" xfId="0" applyFont="1" applyFill="1" applyBorder="1" applyAlignment="1">
      <alignment horizontal="center" vertical="center" wrapText="1"/>
    </xf>
    <xf numFmtId="198" fontId="36" fillId="0" borderId="1" xfId="20" applyFont="1" applyFill="1" applyBorder="1" applyAlignment="1" applyProtection="1">
      <alignment horizontal="center" vertical="center" wrapText="1" shrinkToFit="1"/>
    </xf>
    <xf numFmtId="0" fontId="36" fillId="0" borderId="1" xfId="0" applyFont="1" applyFill="1" applyBorder="1" applyAlignment="1">
      <alignment horizontal="center" vertical="center"/>
    </xf>
    <xf numFmtId="199" fontId="270" fillId="0" borderId="1" xfId="20" applyNumberFormat="1" applyFont="1" applyFill="1" applyBorder="1" applyAlignment="1" applyProtection="1">
      <alignment horizontal="center" vertical="center" wrapText="1" shrinkToFit="1"/>
    </xf>
    <xf numFmtId="49" fontId="36" fillId="0" borderId="1" xfId="0" applyNumberFormat="1" applyFont="1" applyFill="1" applyBorder="1" applyAlignment="1">
      <alignment horizontal="center" vertical="center"/>
    </xf>
    <xf numFmtId="49" fontId="270" fillId="0" borderId="1" xfId="19" applyNumberFormat="1" applyFont="1" applyFill="1" applyBorder="1" applyAlignment="1">
      <alignment horizontal="center" vertical="center" wrapText="1" shrinkToFit="1"/>
    </xf>
    <xf numFmtId="196" fontId="270" fillId="0" borderId="1" xfId="0" applyNumberFormat="1" applyFont="1" applyFill="1" applyBorder="1" applyAlignment="1">
      <alignment horizontal="center" vertical="center" wrapText="1"/>
    </xf>
    <xf numFmtId="49" fontId="36" fillId="0" borderId="1" xfId="0" applyNumberFormat="1" applyFont="1" applyFill="1" applyBorder="1" applyAlignment="1">
      <alignment horizontal="center" vertical="center" wrapText="1"/>
    </xf>
    <xf numFmtId="196" fontId="270" fillId="0" borderId="1" xfId="21" applyNumberFormat="1" applyFont="1" applyFill="1" applyBorder="1" applyAlignment="1">
      <alignment horizontal="center" vertical="center" shrinkToFit="1"/>
    </xf>
    <xf numFmtId="197" fontId="270" fillId="0" borderId="1" xfId="0" applyNumberFormat="1" applyFont="1" applyFill="1" applyBorder="1" applyAlignment="1">
      <alignment horizontal="center" vertical="center"/>
    </xf>
    <xf numFmtId="200" fontId="270" fillId="0" borderId="1" xfId="0" applyNumberFormat="1" applyFont="1" applyFill="1" applyBorder="1" applyAlignment="1">
      <alignment horizontal="center" vertical="center"/>
    </xf>
    <xf numFmtId="196" fontId="270" fillId="0" borderId="1" xfId="0" applyNumberFormat="1" applyFont="1" applyFill="1" applyBorder="1" applyAlignment="1">
      <alignment horizontal="center" vertical="center"/>
    </xf>
    <xf numFmtId="196" fontId="36" fillId="0" borderId="0" xfId="0" applyNumberFormat="1" applyFont="1" applyFill="1" applyAlignment="1">
      <alignment horizontal="center" vertical="center"/>
    </xf>
    <xf numFmtId="0" fontId="36" fillId="0" borderId="1" xfId="0" applyFont="1" applyBorder="1" applyAlignment="1">
      <alignment horizontal="center" vertical="center"/>
    </xf>
    <xf numFmtId="199" fontId="275" fillId="0" borderId="1" xfId="20" applyNumberFormat="1" applyFont="1" applyFill="1" applyBorder="1" applyAlignment="1" applyProtection="1">
      <alignment horizontal="center" vertical="center" wrapText="1" shrinkToFit="1"/>
    </xf>
    <xf numFmtId="199" fontId="36" fillId="0" borderId="1" xfId="20" applyNumberFormat="1" applyFont="1" applyFill="1" applyBorder="1" applyAlignment="1" applyProtection="1">
      <alignment horizontal="center" vertical="center" wrapText="1" shrinkToFit="1"/>
    </xf>
    <xf numFmtId="196" fontId="270" fillId="0" borderId="1" xfId="0" applyNumberFormat="1" applyFont="1" applyFill="1" applyBorder="1" applyAlignment="1">
      <alignment horizontal="right" vertical="center" wrapText="1"/>
    </xf>
    <xf numFmtId="49" fontId="270" fillId="0" borderId="2" xfId="19" applyNumberFormat="1" applyFont="1" applyFill="1" applyBorder="1" applyAlignment="1">
      <alignment horizontal="center" vertical="center" wrapText="1" shrinkToFit="1"/>
    </xf>
    <xf numFmtId="198" fontId="36" fillId="0" borderId="2" xfId="20" applyFont="1" applyFill="1" applyBorder="1" applyAlignment="1" applyProtection="1">
      <alignment horizontal="center" vertical="center" wrapText="1" shrinkToFit="1"/>
    </xf>
    <xf numFmtId="199" fontId="36" fillId="0" borderId="2" xfId="20" applyNumberFormat="1" applyFont="1" applyFill="1" applyBorder="1" applyAlignment="1" applyProtection="1">
      <alignment horizontal="center" vertical="center" wrapText="1" shrinkToFit="1"/>
    </xf>
    <xf numFmtId="199" fontId="270" fillId="0" borderId="2" xfId="20" applyNumberFormat="1" applyFont="1" applyFill="1" applyBorder="1" applyAlignment="1" applyProtection="1">
      <alignment horizontal="center" vertical="center" wrapText="1" shrinkToFit="1"/>
    </xf>
    <xf numFmtId="0" fontId="36" fillId="0" borderId="2" xfId="0" applyFont="1" applyFill="1" applyBorder="1" applyAlignment="1">
      <alignment horizontal="center" vertical="center"/>
    </xf>
    <xf numFmtId="197" fontId="270" fillId="5" borderId="2" xfId="22" applyNumberFormat="1" applyFont="1" applyFill="1" applyBorder="1" applyAlignment="1">
      <alignment horizontal="center" vertical="center" shrinkToFit="1"/>
    </xf>
    <xf numFmtId="197" fontId="270" fillId="5" borderId="2" xfId="0" applyNumberFormat="1" applyFont="1" applyFill="1" applyBorder="1" applyAlignment="1">
      <alignment horizontal="center" vertical="center"/>
    </xf>
    <xf numFmtId="49" fontId="270" fillId="0" borderId="1" xfId="0" applyNumberFormat="1" applyFont="1" applyFill="1" applyBorder="1" applyAlignment="1">
      <alignment horizontal="center" vertical="center" wrapText="1"/>
    </xf>
    <xf numFmtId="196" fontId="270" fillId="5" borderId="1" xfId="0" applyNumberFormat="1" applyFont="1" applyFill="1" applyBorder="1" applyAlignment="1">
      <alignment horizontal="center" vertical="center" wrapText="1"/>
    </xf>
    <xf numFmtId="196" fontId="36" fillId="0" borderId="1" xfId="21" applyNumberFormat="1" applyFont="1" applyFill="1" applyBorder="1" applyAlignment="1">
      <alignment horizontal="center" vertical="center" shrinkToFit="1"/>
    </xf>
    <xf numFmtId="196" fontId="36" fillId="0" borderId="1" xfId="21" applyNumberFormat="1" applyFont="1" applyFill="1" applyBorder="1" applyAlignment="1">
      <alignment horizontal="center" vertical="center" wrapText="1" shrinkToFit="1"/>
    </xf>
    <xf numFmtId="196" fontId="270" fillId="0" borderId="1" xfId="21" applyNumberFormat="1" applyFont="1" applyFill="1" applyBorder="1" applyAlignment="1">
      <alignment horizontal="center" vertical="center" wrapText="1" shrinkToFit="1"/>
    </xf>
    <xf numFmtId="49" fontId="275" fillId="0" borderId="1" xfId="19" applyNumberFormat="1" applyFont="1" applyFill="1" applyBorder="1" applyAlignment="1">
      <alignment horizontal="center" vertical="center" wrapText="1" shrinkToFit="1"/>
    </xf>
    <xf numFmtId="200" fontId="270" fillId="0" borderId="1" xfId="21" applyNumberFormat="1" applyFont="1" applyFill="1" applyBorder="1" applyAlignment="1">
      <alignment horizontal="center" vertical="center" shrinkToFit="1"/>
    </xf>
    <xf numFmtId="189" fontId="94" fillId="0" borderId="2" xfId="19" applyNumberFormat="1" applyFont="1" applyFill="1" applyBorder="1" applyAlignment="1">
      <alignment horizontal="center" vertical="center" shrinkToFit="1"/>
    </xf>
    <xf numFmtId="201" fontId="270" fillId="0" borderId="1" xfId="0" applyNumberFormat="1" applyFont="1" applyFill="1" applyBorder="1" applyAlignment="1">
      <alignment horizontal="center" vertical="center"/>
    </xf>
    <xf numFmtId="189" fontId="270" fillId="0" borderId="1" xfId="0" applyNumberFormat="1" applyFont="1" applyFill="1" applyBorder="1" applyAlignment="1">
      <alignment horizontal="center" vertical="center" wrapText="1"/>
    </xf>
    <xf numFmtId="196" fontId="270" fillId="0" borderId="7" xfId="0" applyNumberFormat="1" applyFont="1" applyFill="1" applyBorder="1" applyAlignment="1">
      <alignment horizontal="center" vertical="center"/>
    </xf>
    <xf numFmtId="196" fontId="270" fillId="0" borderId="2" xfId="0" applyNumberFormat="1" applyFont="1" applyFill="1" applyBorder="1" applyAlignment="1">
      <alignment horizontal="center" vertical="center"/>
    </xf>
    <xf numFmtId="196" fontId="270" fillId="0" borderId="2" xfId="0" applyNumberFormat="1" applyFont="1" applyFill="1" applyBorder="1" applyAlignment="1">
      <alignment horizontal="center" vertical="center" wrapText="1"/>
    </xf>
    <xf numFmtId="0" fontId="270" fillId="0" borderId="0" xfId="0" applyFont="1" applyFill="1" applyAlignment="1">
      <alignment horizontal="center" vertical="center"/>
    </xf>
    <xf numFmtId="14" fontId="270" fillId="0" borderId="0" xfId="0" applyNumberFormat="1" applyFont="1" applyFill="1" applyAlignment="1">
      <alignment horizontal="center" vertical="center"/>
    </xf>
    <xf numFmtId="200" fontId="270" fillId="0" borderId="0" xfId="0" applyNumberFormat="1" applyFont="1" applyFill="1" applyAlignment="1">
      <alignment horizontal="center" vertical="center"/>
    </xf>
    <xf numFmtId="0" fontId="77" fillId="12" borderId="0" xfId="0" applyFont="1" applyFill="1" applyAlignment="1" applyProtection="1">
      <alignment vertical="center"/>
      <protection locked="0"/>
    </xf>
    <xf numFmtId="49" fontId="36" fillId="12" borderId="1" xfId="0" applyNumberFormat="1" applyFont="1" applyFill="1" applyBorder="1" applyAlignment="1">
      <alignment horizontal="center" vertical="center"/>
    </xf>
    <xf numFmtId="196" fontId="270" fillId="5" borderId="1" xfId="21" applyNumberFormat="1" applyFont="1" applyFill="1" applyBorder="1" applyAlignment="1">
      <alignment horizontal="center" vertical="center" shrinkToFit="1"/>
    </xf>
    <xf numFmtId="196" fontId="270" fillId="16" borderId="1" xfId="21" applyNumberFormat="1" applyFont="1" applyFill="1" applyBorder="1" applyAlignment="1">
      <alignment horizontal="center" vertical="center" shrinkToFit="1"/>
    </xf>
    <xf numFmtId="0" fontId="95" fillId="0" borderId="0" xfId="0" applyFont="1">
      <alignment vertical="center"/>
    </xf>
    <xf numFmtId="196" fontId="270" fillId="16" borderId="1" xfId="0" applyNumberFormat="1" applyFont="1" applyFill="1" applyBorder="1" applyAlignment="1">
      <alignment horizontal="center" vertical="center" wrapText="1"/>
    </xf>
    <xf numFmtId="58" fontId="95" fillId="0" borderId="0" xfId="0" applyNumberFormat="1" applyFont="1">
      <alignment vertical="center"/>
    </xf>
    <xf numFmtId="49" fontId="95" fillId="0" borderId="0" xfId="0" applyNumberFormat="1" applyFont="1">
      <alignment vertical="center"/>
    </xf>
    <xf numFmtId="196" fontId="270" fillId="9" borderId="1" xfId="21" applyNumberFormat="1" applyFont="1" applyFill="1" applyBorder="1" applyAlignment="1">
      <alignment horizontal="center" vertical="center" shrinkToFit="1"/>
    </xf>
    <xf numFmtId="0" fontId="95" fillId="16" borderId="0" xfId="0" applyFont="1" applyFill="1">
      <alignment vertical="center"/>
    </xf>
    <xf numFmtId="0" fontId="0" fillId="16" borderId="0" xfId="0" applyFill="1">
      <alignment vertical="center"/>
    </xf>
    <xf numFmtId="49" fontId="95" fillId="5" borderId="0" xfId="0" applyNumberFormat="1" applyFont="1" applyFill="1">
      <alignment vertical="center"/>
    </xf>
    <xf numFmtId="0" fontId="0" fillId="5" borderId="0" xfId="0" applyFill="1">
      <alignment vertical="center"/>
    </xf>
    <xf numFmtId="0" fontId="95" fillId="5" borderId="0" xfId="0" applyFont="1" applyFill="1">
      <alignment vertical="center"/>
    </xf>
    <xf numFmtId="0" fontId="95" fillId="0" borderId="1" xfId="0" applyFont="1" applyBorder="1">
      <alignment vertical="center"/>
    </xf>
    <xf numFmtId="0" fontId="0" fillId="0" borderId="1" xfId="0" applyBorder="1">
      <alignment vertical="center"/>
    </xf>
    <xf numFmtId="49" fontId="95" fillId="0" borderId="1" xfId="0" applyNumberFormat="1" applyFont="1" applyBorder="1">
      <alignment vertical="center"/>
    </xf>
    <xf numFmtId="0" fontId="0" fillId="12" borderId="1" xfId="0" applyFill="1" applyBorder="1">
      <alignment vertical="center"/>
    </xf>
    <xf numFmtId="0" fontId="95" fillId="12" borderId="1" xfId="0" applyFont="1" applyFill="1" applyBorder="1">
      <alignment vertical="center"/>
    </xf>
    <xf numFmtId="14" fontId="0" fillId="0" borderId="1" xfId="0" applyNumberFormat="1" applyBorder="1">
      <alignment vertical="center"/>
    </xf>
    <xf numFmtId="49" fontId="95" fillId="12" borderId="1" xfId="0" applyNumberFormat="1" applyFont="1" applyFill="1" applyBorder="1">
      <alignment vertical="center"/>
    </xf>
    <xf numFmtId="0" fontId="95" fillId="0" borderId="1" xfId="0" applyFont="1" applyBorder="1" applyAlignment="1">
      <alignment vertical="center" wrapText="1"/>
    </xf>
    <xf numFmtId="0" fontId="95" fillId="16" borderId="1" xfId="0" applyFont="1" applyFill="1" applyBorder="1">
      <alignment vertical="center"/>
    </xf>
    <xf numFmtId="0" fontId="95" fillId="0" borderId="0" xfId="0" applyFont="1" applyFill="1" applyBorder="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99" fillId="0" borderId="0" xfId="0" applyNumberFormat="1" applyFont="1" applyAlignment="1" applyProtection="1">
      <alignment horizontal="left" vertical="center"/>
    </xf>
    <xf numFmtId="0" fontId="53" fillId="6" borderId="3" xfId="8" applyFont="1" applyFill="1" applyBorder="1" applyAlignment="1" applyProtection="1">
      <alignment horizontal="center" vertical="center" wrapText="1"/>
      <protection locked="0"/>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5" xfId="0" applyFont="1" applyFill="1" applyBorder="1" applyAlignment="1" applyProtection="1">
      <alignment vertical="center" wrapText="1"/>
    </xf>
    <xf numFmtId="0" fontId="51" fillId="6" borderId="1"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15" xfId="0" applyFont="1" applyFill="1" applyBorder="1">
      <alignment vertical="center"/>
    </xf>
    <xf numFmtId="0" fontId="95" fillId="0" borderId="0" xfId="0" applyFont="1" applyFill="1">
      <alignment vertical="center"/>
    </xf>
    <xf numFmtId="0" fontId="53" fillId="16" borderId="29" xfId="0" applyFont="1" applyFill="1" applyBorder="1" applyAlignment="1" applyProtection="1">
      <alignment horizontal="center" vertical="center" wrapText="1"/>
    </xf>
    <xf numFmtId="0" fontId="44" fillId="16" borderId="23" xfId="0" applyFont="1" applyFill="1" applyBorder="1" applyAlignment="1" applyProtection="1">
      <alignment horizontal="center" vertical="center"/>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196" fontId="271" fillId="0" borderId="0" xfId="0" applyNumberFormat="1" applyFont="1" applyFill="1" applyAlignment="1">
      <alignment horizontal="center" vertical="center" wrapText="1"/>
    </xf>
    <xf numFmtId="196" fontId="271" fillId="0" borderId="0" xfId="0" applyNumberFormat="1" applyFont="1" applyFill="1" applyAlignment="1">
      <alignment horizontal="center" vertical="center"/>
    </xf>
    <xf numFmtId="191" fontId="273" fillId="0" borderId="0" xfId="0" applyNumberFormat="1" applyFont="1" applyFill="1" applyAlignment="1">
      <alignment horizontal="center" vertical="center"/>
    </xf>
    <xf numFmtId="0" fontId="270" fillId="0" borderId="1" xfId="0" applyFont="1" applyFill="1" applyBorder="1" applyAlignment="1">
      <alignment horizontal="center" vertical="center"/>
    </xf>
    <xf numFmtId="0" fontId="270" fillId="0" borderId="2" xfId="0" applyFont="1" applyFill="1" applyBorder="1" applyAlignment="1">
      <alignment horizontal="center"/>
    </xf>
    <xf numFmtId="196" fontId="270" fillId="0" borderId="1" xfId="0" applyNumberFormat="1" applyFont="1" applyFill="1" applyBorder="1" applyAlignment="1">
      <alignment horizontal="center" vertical="center"/>
    </xf>
    <xf numFmtId="196" fontId="270" fillId="0" borderId="3" xfId="0" applyNumberFormat="1" applyFont="1" applyFill="1" applyBorder="1" applyAlignment="1">
      <alignment horizontal="center" vertical="center"/>
    </xf>
    <xf numFmtId="0" fontId="270" fillId="0" borderId="3" xfId="0" applyFont="1" applyFill="1" applyBorder="1" applyAlignment="1">
      <alignment horizontal="center"/>
    </xf>
    <xf numFmtId="196" fontId="36" fillId="0" borderId="1" xfId="0" applyNumberFormat="1" applyFont="1" applyFill="1" applyBorder="1" applyAlignment="1">
      <alignment horizontal="center" vertical="center"/>
    </xf>
    <xf numFmtId="196" fontId="36" fillId="0" borderId="1" xfId="0" applyNumberFormat="1" applyFont="1" applyFill="1" applyBorder="1" applyAlignment="1">
      <alignment horizontal="center" vertical="center" wrapText="1"/>
    </xf>
    <xf numFmtId="0" fontId="270" fillId="0" borderId="2" xfId="0" applyFont="1" applyFill="1" applyBorder="1" applyAlignment="1">
      <alignment horizontal="center" wrapText="1"/>
    </xf>
    <xf numFmtId="196" fontId="270" fillId="0" borderId="1" xfId="0" applyNumberFormat="1" applyFont="1" applyFill="1" applyBorder="1" applyAlignment="1">
      <alignment horizontal="center" vertical="center" wrapText="1"/>
    </xf>
    <xf numFmtId="196" fontId="270" fillId="0" borderId="13" xfId="0" applyNumberFormat="1" applyFont="1" applyFill="1" applyBorder="1" applyAlignment="1">
      <alignment horizontal="center" vertical="center" wrapText="1"/>
    </xf>
    <xf numFmtId="0" fontId="270" fillId="0" borderId="15" xfId="0" applyFont="1" applyFill="1" applyBorder="1" applyAlignment="1">
      <alignment horizontal="center"/>
    </xf>
    <xf numFmtId="196" fontId="36" fillId="0" borderId="13" xfId="0" applyNumberFormat="1" applyFont="1" applyFill="1" applyBorder="1" applyAlignment="1">
      <alignment horizontal="center" vertical="center" wrapText="1"/>
    </xf>
    <xf numFmtId="197" fontId="270" fillId="0" borderId="13" xfId="0" applyNumberFormat="1" applyFont="1" applyFill="1" applyBorder="1" applyAlignment="1">
      <alignment horizontal="center" vertical="center"/>
    </xf>
    <xf numFmtId="197" fontId="270" fillId="0" borderId="15" xfId="0" applyNumberFormat="1" applyFont="1" applyFill="1" applyBorder="1" applyAlignment="1">
      <alignment horizontal="center" vertical="center"/>
    </xf>
    <xf numFmtId="197" fontId="270" fillId="0" borderId="2" xfId="0" applyNumberFormat="1" applyFont="1" applyFill="1" applyBorder="1" applyAlignment="1">
      <alignment horizontal="center" vertical="center"/>
    </xf>
    <xf numFmtId="196" fontId="275" fillId="0" borderId="13" xfId="0" applyNumberFormat="1" applyFont="1" applyFill="1" applyBorder="1" applyAlignment="1">
      <alignment horizontal="center" vertical="center" wrapText="1"/>
    </xf>
    <xf numFmtId="49" fontId="94" fillId="0" borderId="13" xfId="19" applyNumberFormat="1" applyFont="1" applyFill="1" applyBorder="1" applyAlignment="1">
      <alignment horizontal="center" vertical="center" wrapText="1" shrinkToFit="1"/>
    </xf>
    <xf numFmtId="49" fontId="94" fillId="0" borderId="15" xfId="19" applyNumberFormat="1" applyFont="1" applyFill="1" applyBorder="1" applyAlignment="1">
      <alignment horizontal="center" vertical="center" wrapText="1" shrinkToFit="1"/>
    </xf>
    <xf numFmtId="49" fontId="94" fillId="0" borderId="2" xfId="19" applyNumberFormat="1" applyFont="1" applyFill="1" applyBorder="1" applyAlignment="1">
      <alignment horizontal="center" vertical="center" wrapText="1" shrinkToFit="1"/>
    </xf>
    <xf numFmtId="199" fontId="36" fillId="0" borderId="13" xfId="20" applyNumberFormat="1" applyFont="1" applyFill="1" applyBorder="1" applyAlignment="1" applyProtection="1">
      <alignment horizontal="center" vertical="center" wrapText="1" shrinkToFit="1"/>
    </xf>
    <xf numFmtId="199" fontId="36" fillId="0" borderId="15" xfId="20" applyNumberFormat="1" applyFont="1" applyFill="1" applyBorder="1" applyAlignment="1" applyProtection="1">
      <alignment horizontal="center" vertical="center" wrapText="1" shrinkToFit="1"/>
    </xf>
    <xf numFmtId="199" fontId="36" fillId="0" borderId="2" xfId="20" applyNumberFormat="1" applyFont="1" applyFill="1" applyBorder="1" applyAlignment="1" applyProtection="1">
      <alignment horizontal="center" vertical="center" wrapText="1" shrinkToFit="1"/>
    </xf>
    <xf numFmtId="191" fontId="94" fillId="0" borderId="13" xfId="19" applyFont="1" applyFill="1" applyBorder="1" applyAlignment="1">
      <alignment horizontal="center" vertical="center" wrapText="1" shrinkToFit="1"/>
    </xf>
    <xf numFmtId="191" fontId="94" fillId="0" borderId="15" xfId="19" applyFont="1" applyFill="1" applyBorder="1" applyAlignment="1">
      <alignment horizontal="center" vertical="center" wrapText="1" shrinkToFit="1"/>
    </xf>
    <xf numFmtId="191" fontId="94" fillId="0" borderId="2" xfId="19" applyFont="1" applyFill="1" applyBorder="1" applyAlignment="1">
      <alignment horizontal="center" vertical="center" wrapText="1" shrinkToFit="1"/>
    </xf>
    <xf numFmtId="49" fontId="270" fillId="0" borderId="13" xfId="19" applyNumberFormat="1" applyFont="1" applyFill="1" applyBorder="1" applyAlignment="1">
      <alignment horizontal="center" vertical="center" wrapText="1" shrinkToFit="1"/>
    </xf>
    <xf numFmtId="49" fontId="270" fillId="0" borderId="15" xfId="19" applyNumberFormat="1" applyFont="1" applyFill="1" applyBorder="1" applyAlignment="1">
      <alignment horizontal="center" vertical="center" wrapText="1" shrinkToFit="1"/>
    </xf>
    <xf numFmtId="49" fontId="270" fillId="0" borderId="2" xfId="19" applyNumberFormat="1" applyFont="1" applyFill="1" applyBorder="1" applyAlignment="1">
      <alignment horizontal="center" vertical="center" wrapText="1" shrinkToFit="1"/>
    </xf>
    <xf numFmtId="198" fontId="36" fillId="0" borderId="13" xfId="20" applyFont="1" applyFill="1" applyBorder="1" applyAlignment="1" applyProtection="1">
      <alignment horizontal="center" vertical="center" wrapText="1" shrinkToFit="1"/>
    </xf>
    <xf numFmtId="198" fontId="36" fillId="0" borderId="15" xfId="20" applyFont="1" applyFill="1" applyBorder="1" applyAlignment="1" applyProtection="1">
      <alignment horizontal="center" vertical="center" wrapText="1" shrinkToFit="1"/>
    </xf>
    <xf numFmtId="198" fontId="36" fillId="0" borderId="2" xfId="20" applyFont="1" applyFill="1" applyBorder="1" applyAlignment="1" applyProtection="1">
      <alignment horizontal="center" vertical="center" wrapText="1" shrinkToFit="1"/>
    </xf>
    <xf numFmtId="0" fontId="36" fillId="0" borderId="13" xfId="0" applyFont="1" applyFill="1" applyBorder="1" applyAlignment="1">
      <alignment horizontal="center" vertical="center"/>
    </xf>
    <xf numFmtId="0" fontId="36" fillId="0" borderId="2" xfId="0" applyFont="1" applyFill="1" applyBorder="1" applyAlignment="1">
      <alignment horizontal="center" vertical="center"/>
    </xf>
    <xf numFmtId="197" fontId="270" fillId="0" borderId="13" xfId="22" applyNumberFormat="1" applyFont="1" applyFill="1" applyBorder="1" applyAlignment="1">
      <alignment horizontal="center" vertical="center" shrinkToFit="1"/>
    </xf>
    <xf numFmtId="197" fontId="270" fillId="0" borderId="2" xfId="22" applyNumberFormat="1" applyFont="1" applyFill="1" applyBorder="1" applyAlignment="1">
      <alignment horizontal="center" vertical="center" shrinkToFit="1"/>
    </xf>
    <xf numFmtId="199" fontId="36" fillId="0" borderId="46" xfId="20" applyNumberFormat="1" applyFont="1" applyFill="1" applyBorder="1" applyAlignment="1" applyProtection="1">
      <alignment horizontal="center" vertical="center" wrapText="1" shrinkToFit="1"/>
    </xf>
    <xf numFmtId="199" fontId="36" fillId="0" borderId="58" xfId="20" applyNumberFormat="1" applyFont="1" applyFill="1" applyBorder="1" applyAlignment="1" applyProtection="1">
      <alignment horizontal="center" vertical="center" wrapText="1" shrinkToFit="1"/>
    </xf>
    <xf numFmtId="199" fontId="36" fillId="0" borderId="4" xfId="20" applyNumberFormat="1" applyFont="1" applyFill="1" applyBorder="1" applyAlignment="1" applyProtection="1">
      <alignment horizontal="center" vertical="center" wrapText="1" shrinkToFit="1"/>
    </xf>
    <xf numFmtId="199" fontId="270" fillId="0" borderId="13" xfId="20" applyNumberFormat="1" applyFont="1" applyFill="1" applyBorder="1" applyAlignment="1" applyProtection="1">
      <alignment horizontal="center" vertical="center" wrapText="1" shrinkToFit="1"/>
    </xf>
    <xf numFmtId="199" fontId="270" fillId="0" borderId="15" xfId="20" applyNumberFormat="1" applyFont="1" applyFill="1" applyBorder="1" applyAlignment="1" applyProtection="1">
      <alignment horizontal="center" vertical="center" wrapText="1" shrinkToFit="1"/>
    </xf>
    <xf numFmtId="199" fontId="270" fillId="0" borderId="2" xfId="20" applyNumberFormat="1" applyFont="1" applyFill="1" applyBorder="1" applyAlignment="1" applyProtection="1">
      <alignment horizontal="center" vertical="center" wrapText="1" shrinkToFit="1"/>
    </xf>
    <xf numFmtId="0" fontId="36" fillId="0" borderId="15" xfId="0" applyFont="1" applyFill="1" applyBorder="1" applyAlignment="1">
      <alignment horizontal="center" vertical="center"/>
    </xf>
    <xf numFmtId="196" fontId="270" fillId="0" borderId="15" xfId="0" applyNumberFormat="1" applyFont="1" applyFill="1" applyBorder="1" applyAlignment="1">
      <alignment horizontal="center" vertical="center" wrapText="1"/>
    </xf>
    <xf numFmtId="196" fontId="270" fillId="0" borderId="2" xfId="0" applyNumberFormat="1" applyFont="1" applyFill="1" applyBorder="1" applyAlignment="1">
      <alignment horizontal="center" vertical="center" wrapText="1"/>
    </xf>
    <xf numFmtId="189" fontId="94" fillId="0" borderId="13" xfId="19" applyNumberFormat="1" applyFont="1" applyFill="1" applyBorder="1" applyAlignment="1">
      <alignment horizontal="center" vertical="center" shrinkToFit="1"/>
    </xf>
    <xf numFmtId="189" fontId="94" fillId="0" borderId="15" xfId="19" applyNumberFormat="1" applyFont="1" applyFill="1" applyBorder="1" applyAlignment="1">
      <alignment horizontal="center" vertical="center" shrinkToFit="1"/>
    </xf>
    <xf numFmtId="189" fontId="94" fillId="0" borderId="2" xfId="19" applyNumberFormat="1" applyFont="1" applyFill="1" applyBorder="1" applyAlignment="1">
      <alignment horizontal="center" vertical="center" shrinkToFit="1"/>
    </xf>
    <xf numFmtId="197" fontId="270" fillId="0" borderId="15" xfId="22" applyNumberFormat="1" applyFont="1" applyFill="1" applyBorder="1" applyAlignment="1">
      <alignment horizontal="center" vertical="center" shrinkToFit="1"/>
    </xf>
    <xf numFmtId="49" fontId="36" fillId="0" borderId="13" xfId="0" applyNumberFormat="1" applyFont="1" applyFill="1" applyBorder="1" applyAlignment="1">
      <alignment horizontal="center" vertical="center" wrapText="1"/>
    </xf>
    <xf numFmtId="49" fontId="36" fillId="0" borderId="2" xfId="0" applyNumberFormat="1" applyFont="1" applyFill="1" applyBorder="1" applyAlignment="1">
      <alignment horizontal="center" vertical="center" wrapText="1"/>
    </xf>
    <xf numFmtId="0" fontId="270" fillId="0" borderId="1" xfId="0" applyFont="1" applyFill="1" applyBorder="1" applyAlignment="1">
      <alignment horizontal="center" vertical="center" wrapText="1"/>
    </xf>
    <xf numFmtId="0" fontId="270" fillId="0" borderId="54" xfId="0" applyFont="1" applyFill="1" applyBorder="1" applyAlignment="1">
      <alignment horizontal="center"/>
    </xf>
    <xf numFmtId="196" fontId="270" fillId="0" borderId="2" xfId="0" applyNumberFormat="1" applyFont="1" applyFill="1" applyBorder="1" applyAlignment="1">
      <alignment horizontal="center" vertical="center"/>
    </xf>
    <xf numFmtId="0" fontId="270" fillId="0" borderId="60" xfId="0" applyFont="1" applyFill="1" applyBorder="1" applyAlignment="1">
      <alignment horizontal="center"/>
    </xf>
    <xf numFmtId="0" fontId="270" fillId="0" borderId="7" xfId="0" applyFont="1" applyFill="1" applyBorder="1" applyAlignment="1">
      <alignment horizontal="center"/>
    </xf>
    <xf numFmtId="49" fontId="36" fillId="0" borderId="15" xfId="0" applyNumberFormat="1" applyFont="1" applyFill="1" applyBorder="1" applyAlignment="1">
      <alignment horizontal="center" vertical="center" wrapText="1"/>
    </xf>
    <xf numFmtId="197" fontId="270" fillId="5" borderId="13" xfId="22" applyNumberFormat="1" applyFont="1" applyFill="1" applyBorder="1" applyAlignment="1">
      <alignment horizontal="center" vertical="center" shrinkToFit="1"/>
    </xf>
    <xf numFmtId="197" fontId="270" fillId="5" borderId="15" xfId="22" applyNumberFormat="1" applyFont="1" applyFill="1" applyBorder="1" applyAlignment="1">
      <alignment horizontal="center" vertical="center" shrinkToFit="1"/>
    </xf>
    <xf numFmtId="197" fontId="270" fillId="5" borderId="2" xfId="22" applyNumberFormat="1" applyFont="1" applyFill="1" applyBorder="1" applyAlignment="1">
      <alignment horizontal="center" vertical="center" shrinkToFit="1"/>
    </xf>
    <xf numFmtId="197" fontId="270" fillId="5" borderId="13" xfId="0" applyNumberFormat="1" applyFont="1" applyFill="1" applyBorder="1" applyAlignment="1">
      <alignment horizontal="center" vertical="center"/>
    </xf>
    <xf numFmtId="197" fontId="270" fillId="5" borderId="15" xfId="0" applyNumberFormat="1" applyFont="1" applyFill="1" applyBorder="1" applyAlignment="1">
      <alignment horizontal="center" vertical="center"/>
    </xf>
    <xf numFmtId="197" fontId="270" fillId="5" borderId="2" xfId="0" applyNumberFormat="1" applyFont="1" applyFill="1" applyBorder="1" applyAlignment="1">
      <alignment horizontal="center" vertical="center"/>
    </xf>
    <xf numFmtId="196" fontId="36" fillId="0" borderId="13" xfId="21" applyNumberFormat="1" applyFont="1" applyFill="1" applyBorder="1" applyAlignment="1">
      <alignment horizontal="center" vertical="center" shrinkToFit="1"/>
    </xf>
    <xf numFmtId="196" fontId="36" fillId="0" borderId="2" xfId="21" applyNumberFormat="1" applyFont="1" applyFill="1" applyBorder="1" applyAlignment="1">
      <alignment horizontal="center" vertical="center" shrinkToFit="1"/>
    </xf>
    <xf numFmtId="196" fontId="36" fillId="0" borderId="13" xfId="21" applyNumberFormat="1" applyFont="1" applyFill="1" applyBorder="1" applyAlignment="1">
      <alignment horizontal="center" vertical="center" wrapText="1" shrinkToFit="1"/>
    </xf>
    <xf numFmtId="196" fontId="36" fillId="0" borderId="2" xfId="21" applyNumberFormat="1" applyFont="1" applyFill="1" applyBorder="1" applyAlignment="1">
      <alignment horizontal="center" vertical="center" wrapText="1" shrinkToFit="1"/>
    </xf>
    <xf numFmtId="196" fontId="270" fillId="0" borderId="13" xfId="21" applyNumberFormat="1" applyFont="1" applyFill="1" applyBorder="1" applyAlignment="1">
      <alignment horizontal="center" vertical="center" shrinkToFit="1"/>
    </xf>
    <xf numFmtId="196" fontId="270" fillId="0" borderId="2" xfId="21" applyNumberFormat="1" applyFont="1" applyFill="1" applyBorder="1" applyAlignment="1">
      <alignment horizontal="center" vertical="center" shrinkToFit="1"/>
    </xf>
    <xf numFmtId="196" fontId="270" fillId="0" borderId="13" xfId="21" applyNumberFormat="1" applyFont="1" applyFill="1" applyBorder="1" applyAlignment="1">
      <alignment horizontal="center" vertical="center" wrapText="1" shrinkToFit="1"/>
    </xf>
    <xf numFmtId="196" fontId="270" fillId="0" borderId="2" xfId="21" applyNumberFormat="1" applyFont="1" applyFill="1" applyBorder="1" applyAlignment="1">
      <alignment horizontal="center" vertical="center" wrapText="1" shrinkToFit="1"/>
    </xf>
    <xf numFmtId="200" fontId="270" fillId="0" borderId="13" xfId="0" applyNumberFormat="1" applyFont="1" applyFill="1" applyBorder="1" applyAlignment="1">
      <alignment horizontal="center" vertical="center"/>
    </xf>
    <xf numFmtId="200" fontId="270" fillId="0" borderId="15" xfId="0" applyNumberFormat="1" applyFont="1" applyFill="1" applyBorder="1" applyAlignment="1">
      <alignment horizontal="center" vertical="center"/>
    </xf>
    <xf numFmtId="200" fontId="270" fillId="0" borderId="2" xfId="0" applyNumberFormat="1" applyFont="1" applyFill="1" applyBorder="1" applyAlignment="1">
      <alignment horizontal="center" vertical="center"/>
    </xf>
    <xf numFmtId="0" fontId="95" fillId="0" borderId="1" xfId="0" applyFont="1" applyBorder="1" applyAlignment="1">
      <alignment vertical="center" wrapText="1"/>
    </xf>
    <xf numFmtId="0" fontId="0" fillId="0" borderId="1" xfId="0" applyBorder="1" applyAlignment="1">
      <alignment vertical="center" wrapText="1"/>
    </xf>
    <xf numFmtId="0" fontId="95" fillId="0" borderId="1" xfId="0" applyFont="1" applyBorder="1" applyAlignment="1">
      <alignment vertical="center"/>
    </xf>
    <xf numFmtId="0" fontId="0" fillId="0" borderId="1" xfId="0" applyBorder="1" applyAlignment="1">
      <alignment vertical="center"/>
    </xf>
    <xf numFmtId="0" fontId="95" fillId="12" borderId="1" xfId="0" applyFont="1" applyFill="1" applyBorder="1" applyAlignment="1">
      <alignment vertical="center"/>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208" fillId="0" borderId="2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3">
    <cellStyle name="百分比" xfId="17" builtinId="5"/>
    <cellStyle name="百分比 2" xfId="14"/>
    <cellStyle name="常规" xfId="0" builtinId="0"/>
    <cellStyle name="常规 11" xfId="18"/>
    <cellStyle name="常规 16" xfId="10"/>
    <cellStyle name="常规 19" xfId="19"/>
    <cellStyle name="常规 2" xfId="1"/>
    <cellStyle name="常规 2 13" xfId="20"/>
    <cellStyle name="常规 2 2" xfId="8"/>
    <cellStyle name="常规 2 2 2 2 3" xfId="15"/>
    <cellStyle name="常规 2 2 4" xfId="22"/>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2 11" xfId="21"/>
  </cellStyles>
  <dxfs count="278">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200025</xdr:colOff>
      <xdr:row>0</xdr:row>
      <xdr:rowOff>47625</xdr:rowOff>
    </xdr:from>
    <xdr:to>
      <xdr:col>10</xdr:col>
      <xdr:colOff>561073</xdr:colOff>
      <xdr:row>32</xdr:row>
      <xdr:rowOff>65987</xdr:rowOff>
    </xdr:to>
    <xdr:pic>
      <xdr:nvPicPr>
        <xdr:cNvPr id="2" name="图片 1"/>
        <xdr:cNvPicPr>
          <a:picLocks noChangeAspect="1"/>
        </xdr:cNvPicPr>
      </xdr:nvPicPr>
      <xdr:blipFill>
        <a:blip xmlns:r="http://schemas.openxmlformats.org/officeDocument/2006/relationships" r:embed="rId1"/>
        <a:stretch>
          <a:fillRect/>
        </a:stretch>
      </xdr:blipFill>
      <xdr:spPr>
        <a:xfrm>
          <a:off x="200025" y="47625"/>
          <a:ext cx="7219048" cy="5504762"/>
        </a:xfrm>
        <a:prstGeom prst="rect">
          <a:avLst/>
        </a:prstGeom>
      </xdr:spPr>
    </xdr:pic>
    <xdr:clientData/>
  </xdr:twoCellAnchor>
  <xdr:twoCellAnchor editAs="oneCell">
    <xdr:from>
      <xdr:col>0</xdr:col>
      <xdr:colOff>266701</xdr:colOff>
      <xdr:row>32</xdr:row>
      <xdr:rowOff>152400</xdr:rowOff>
    </xdr:from>
    <xdr:to>
      <xdr:col>10</xdr:col>
      <xdr:colOff>552451</xdr:colOff>
      <xdr:row>56</xdr:row>
      <xdr:rowOff>128955</xdr:rowOff>
    </xdr:to>
    <xdr:pic>
      <xdr:nvPicPr>
        <xdr:cNvPr id="3" name="图片 2"/>
        <xdr:cNvPicPr>
          <a:picLocks noChangeAspect="1"/>
        </xdr:cNvPicPr>
      </xdr:nvPicPr>
      <xdr:blipFill>
        <a:blip xmlns:r="http://schemas.openxmlformats.org/officeDocument/2006/relationships" r:embed="rId2"/>
        <a:stretch>
          <a:fillRect/>
        </a:stretch>
      </xdr:blipFill>
      <xdr:spPr>
        <a:xfrm>
          <a:off x="266701" y="5638800"/>
          <a:ext cx="7143750" cy="4091355"/>
        </a:xfrm>
        <a:prstGeom prst="rect">
          <a:avLst/>
        </a:prstGeom>
      </xdr:spPr>
    </xdr:pic>
    <xdr:clientData/>
  </xdr:twoCellAnchor>
  <xdr:twoCellAnchor editAs="oneCell">
    <xdr:from>
      <xdr:col>10</xdr:col>
      <xdr:colOff>608550</xdr:colOff>
      <xdr:row>32</xdr:row>
      <xdr:rowOff>38100</xdr:rowOff>
    </xdr:from>
    <xdr:to>
      <xdr:col>23</xdr:col>
      <xdr:colOff>179801</xdr:colOff>
      <xdr:row>55</xdr:row>
      <xdr:rowOff>66675</xdr:rowOff>
    </xdr:to>
    <xdr:pic>
      <xdr:nvPicPr>
        <xdr:cNvPr id="4" name="图片 3"/>
        <xdr:cNvPicPr>
          <a:picLocks noChangeAspect="1"/>
        </xdr:cNvPicPr>
      </xdr:nvPicPr>
      <xdr:blipFill>
        <a:blip xmlns:r="http://schemas.openxmlformats.org/officeDocument/2006/relationships" r:embed="rId3"/>
        <a:stretch>
          <a:fillRect/>
        </a:stretch>
      </xdr:blipFill>
      <xdr:spPr>
        <a:xfrm>
          <a:off x="7466550" y="5524500"/>
          <a:ext cx="8486651" cy="3971925"/>
        </a:xfrm>
        <a:prstGeom prst="rect">
          <a:avLst/>
        </a:prstGeom>
      </xdr:spPr>
    </xdr:pic>
    <xdr:clientData/>
  </xdr:twoCellAnchor>
  <xdr:twoCellAnchor editAs="oneCell">
    <xdr:from>
      <xdr:col>1</xdr:col>
      <xdr:colOff>0</xdr:colOff>
      <xdr:row>58</xdr:row>
      <xdr:rowOff>0</xdr:rowOff>
    </xdr:from>
    <xdr:to>
      <xdr:col>6</xdr:col>
      <xdr:colOff>656714</xdr:colOff>
      <xdr:row>78</xdr:row>
      <xdr:rowOff>37667</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9944100"/>
          <a:ext cx="4085714" cy="3466667"/>
        </a:xfrm>
        <a:prstGeom prst="rect">
          <a:avLst/>
        </a:prstGeom>
      </xdr:spPr>
    </xdr:pic>
    <xdr:clientData/>
  </xdr:twoCellAnchor>
  <xdr:twoCellAnchor editAs="oneCell">
    <xdr:from>
      <xdr:col>7</xdr:col>
      <xdr:colOff>0</xdr:colOff>
      <xdr:row>58</xdr:row>
      <xdr:rowOff>0</xdr:rowOff>
    </xdr:from>
    <xdr:to>
      <xdr:col>12</xdr:col>
      <xdr:colOff>466238</xdr:colOff>
      <xdr:row>65</xdr:row>
      <xdr:rowOff>66517</xdr:rowOff>
    </xdr:to>
    <xdr:pic>
      <xdr:nvPicPr>
        <xdr:cNvPr id="6" name="图片 5"/>
        <xdr:cNvPicPr>
          <a:picLocks noChangeAspect="1"/>
        </xdr:cNvPicPr>
      </xdr:nvPicPr>
      <xdr:blipFill>
        <a:blip xmlns:r="http://schemas.openxmlformats.org/officeDocument/2006/relationships" r:embed="rId5"/>
        <a:stretch>
          <a:fillRect/>
        </a:stretch>
      </xdr:blipFill>
      <xdr:spPr>
        <a:xfrm>
          <a:off x="4800600" y="9944100"/>
          <a:ext cx="3895238" cy="1266667"/>
        </a:xfrm>
        <a:prstGeom prst="rect">
          <a:avLst/>
        </a:prstGeom>
      </xdr:spPr>
    </xdr:pic>
    <xdr:clientData/>
  </xdr:twoCellAnchor>
  <xdr:twoCellAnchor editAs="oneCell">
    <xdr:from>
      <xdr:col>7</xdr:col>
      <xdr:colOff>0</xdr:colOff>
      <xdr:row>66</xdr:row>
      <xdr:rowOff>0</xdr:rowOff>
    </xdr:from>
    <xdr:to>
      <xdr:col>12</xdr:col>
      <xdr:colOff>532905</xdr:colOff>
      <xdr:row>87</xdr:row>
      <xdr:rowOff>37645</xdr:rowOff>
    </xdr:to>
    <xdr:pic>
      <xdr:nvPicPr>
        <xdr:cNvPr id="7" name="图片 6"/>
        <xdr:cNvPicPr>
          <a:picLocks noChangeAspect="1"/>
        </xdr:cNvPicPr>
      </xdr:nvPicPr>
      <xdr:blipFill>
        <a:blip xmlns:r="http://schemas.openxmlformats.org/officeDocument/2006/relationships" r:embed="rId6"/>
        <a:stretch>
          <a:fillRect/>
        </a:stretch>
      </xdr:blipFill>
      <xdr:spPr>
        <a:xfrm>
          <a:off x="4800600" y="11315700"/>
          <a:ext cx="3961905" cy="3638095"/>
        </a:xfrm>
        <a:prstGeom prst="rect">
          <a:avLst/>
        </a:prstGeom>
      </xdr:spPr>
    </xdr:pic>
    <xdr:clientData/>
  </xdr:twoCellAnchor>
  <xdr:twoCellAnchor editAs="oneCell">
    <xdr:from>
      <xdr:col>13</xdr:col>
      <xdr:colOff>0</xdr:colOff>
      <xdr:row>57</xdr:row>
      <xdr:rowOff>0</xdr:rowOff>
    </xdr:from>
    <xdr:to>
      <xdr:col>18</xdr:col>
      <xdr:colOff>590048</xdr:colOff>
      <xdr:row>63</xdr:row>
      <xdr:rowOff>104633</xdr:rowOff>
    </xdr:to>
    <xdr:pic>
      <xdr:nvPicPr>
        <xdr:cNvPr id="8" name="图片 7"/>
        <xdr:cNvPicPr>
          <a:picLocks noChangeAspect="1"/>
        </xdr:cNvPicPr>
      </xdr:nvPicPr>
      <xdr:blipFill>
        <a:blip xmlns:r="http://schemas.openxmlformats.org/officeDocument/2006/relationships" r:embed="rId7"/>
        <a:stretch>
          <a:fillRect/>
        </a:stretch>
      </xdr:blipFill>
      <xdr:spPr>
        <a:xfrm>
          <a:off x="8915400" y="9772650"/>
          <a:ext cx="4019048" cy="1133333"/>
        </a:xfrm>
        <a:prstGeom prst="rect">
          <a:avLst/>
        </a:prstGeom>
      </xdr:spPr>
    </xdr:pic>
    <xdr:clientData/>
  </xdr:twoCellAnchor>
  <xdr:twoCellAnchor editAs="oneCell">
    <xdr:from>
      <xdr:col>1</xdr:col>
      <xdr:colOff>9525</xdr:colOff>
      <xdr:row>87</xdr:row>
      <xdr:rowOff>9525</xdr:rowOff>
    </xdr:from>
    <xdr:to>
      <xdr:col>6</xdr:col>
      <xdr:colOff>56715</xdr:colOff>
      <xdr:row>99</xdr:row>
      <xdr:rowOff>28315</xdr:rowOff>
    </xdr:to>
    <xdr:pic>
      <xdr:nvPicPr>
        <xdr:cNvPr id="9" name="图片 8"/>
        <xdr:cNvPicPr>
          <a:picLocks noChangeAspect="1"/>
        </xdr:cNvPicPr>
      </xdr:nvPicPr>
      <xdr:blipFill>
        <a:blip xmlns:r="http://schemas.openxmlformats.org/officeDocument/2006/relationships" r:embed="rId8"/>
        <a:stretch>
          <a:fillRect/>
        </a:stretch>
      </xdr:blipFill>
      <xdr:spPr>
        <a:xfrm>
          <a:off x="695325" y="14925675"/>
          <a:ext cx="3476190" cy="2076190"/>
        </a:xfrm>
        <a:prstGeom prst="rect">
          <a:avLst/>
        </a:prstGeom>
      </xdr:spPr>
    </xdr:pic>
    <xdr:clientData/>
  </xdr:twoCellAnchor>
  <xdr:twoCellAnchor editAs="oneCell">
    <xdr:from>
      <xdr:col>6</xdr:col>
      <xdr:colOff>0</xdr:colOff>
      <xdr:row>87</xdr:row>
      <xdr:rowOff>0</xdr:rowOff>
    </xdr:from>
    <xdr:to>
      <xdr:col>11</xdr:col>
      <xdr:colOff>47190</xdr:colOff>
      <xdr:row>105</xdr:row>
      <xdr:rowOff>28186</xdr:rowOff>
    </xdr:to>
    <xdr:pic>
      <xdr:nvPicPr>
        <xdr:cNvPr id="10" name="图片 9"/>
        <xdr:cNvPicPr>
          <a:picLocks noChangeAspect="1"/>
        </xdr:cNvPicPr>
      </xdr:nvPicPr>
      <xdr:blipFill>
        <a:blip xmlns:r="http://schemas.openxmlformats.org/officeDocument/2006/relationships" r:embed="rId9"/>
        <a:stretch>
          <a:fillRect/>
        </a:stretch>
      </xdr:blipFill>
      <xdr:spPr>
        <a:xfrm>
          <a:off x="4114800" y="14916150"/>
          <a:ext cx="3476190" cy="3114286"/>
        </a:xfrm>
        <a:prstGeom prst="rect">
          <a:avLst/>
        </a:prstGeom>
      </xdr:spPr>
    </xdr:pic>
    <xdr:clientData/>
  </xdr:twoCellAnchor>
  <xdr:twoCellAnchor editAs="oneCell">
    <xdr:from>
      <xdr:col>11</xdr:col>
      <xdr:colOff>0</xdr:colOff>
      <xdr:row>87</xdr:row>
      <xdr:rowOff>0</xdr:rowOff>
    </xdr:from>
    <xdr:to>
      <xdr:col>16</xdr:col>
      <xdr:colOff>56714</xdr:colOff>
      <xdr:row>107</xdr:row>
      <xdr:rowOff>113857</xdr:rowOff>
    </xdr:to>
    <xdr:pic>
      <xdr:nvPicPr>
        <xdr:cNvPr id="11" name="图片 10"/>
        <xdr:cNvPicPr>
          <a:picLocks noChangeAspect="1"/>
        </xdr:cNvPicPr>
      </xdr:nvPicPr>
      <xdr:blipFill>
        <a:blip xmlns:r="http://schemas.openxmlformats.org/officeDocument/2006/relationships" r:embed="rId10"/>
        <a:stretch>
          <a:fillRect/>
        </a:stretch>
      </xdr:blipFill>
      <xdr:spPr>
        <a:xfrm>
          <a:off x="7543800" y="14916150"/>
          <a:ext cx="3485714" cy="3542857"/>
        </a:xfrm>
        <a:prstGeom prst="rect">
          <a:avLst/>
        </a:prstGeom>
      </xdr:spPr>
    </xdr:pic>
    <xdr:clientData/>
  </xdr:twoCellAnchor>
  <xdr:twoCellAnchor editAs="oneCell">
    <xdr:from>
      <xdr:col>1</xdr:col>
      <xdr:colOff>0</xdr:colOff>
      <xdr:row>103</xdr:row>
      <xdr:rowOff>0</xdr:rowOff>
    </xdr:from>
    <xdr:to>
      <xdr:col>5</xdr:col>
      <xdr:colOff>675848</xdr:colOff>
      <xdr:row>127</xdr:row>
      <xdr:rowOff>18533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685800" y="17659350"/>
          <a:ext cx="3419048" cy="41333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79;&#31639;&#36807;&#31243;/&#21271;&#20140;&#20013;&#26381;&#22823;&#21414;-&#27979;&#31639;&#34920;-10-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评估申报情况"/>
      <sheetName val="Sheet2"/>
      <sheetName val="评估结果的确定过程"/>
      <sheetName val="租约"/>
      <sheetName val="典型案例-市场法（办公）"/>
      <sheetName val="车位租金市场法"/>
      <sheetName val="车位-收益法"/>
      <sheetName val="典型案例-办公市场法"/>
      <sheetName val="办公租金确定"/>
      <sheetName val="典型案例办公-收益法"/>
      <sheetName val="典型案例办公-成本法"/>
      <sheetName val="典型案例办公房屋折旧"/>
      <sheetName val="典型案例-商业"/>
      <sheetName val="商业收益法"/>
      <sheetName val="商业租金确定"/>
      <sheetName val="典型案例-商业成本法"/>
      <sheetName val="典型案例-商业房屋折旧"/>
      <sheetName val="商业-租金案例"/>
      <sheetName val="基准地价测算过程"/>
      <sheetName val="北京基准地价"/>
      <sheetName val="商业出售案例"/>
      <sheetName val="办公出售案例"/>
      <sheetName val="案例情况统计"/>
    </sheetNames>
    <sheetDataSet>
      <sheetData sheetId="0" refreshError="1"/>
      <sheetData sheetId="1" refreshError="1"/>
      <sheetData sheetId="2" refreshError="1">
        <row r="32">
          <cell r="Y32">
            <v>1283.8399999999999</v>
          </cell>
        </row>
        <row r="33">
          <cell r="Y33">
            <v>1426.56</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3.v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 ca="1">'预评函-封皮'!B46</f>
        <v>吴薇（注册号：1419970001)、（注册号：0)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估价对象为北京市房地产，为所有。根据《国有土地使用证》[]，估价对象（分摊）出让国有建设用地使用权面积为0平方米，建筑面积为18448.6平方米。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估价对象为北京市房地产,属开发建设的，该项目尚在开发建设中。根据《国有土地使用证》[]，估价对象（分摊）出让国有建设用地使用权面积为0平方米，规划建筑面积为18448.6平方米。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2024年4月18日（评估专业人员实地查勘之日）</v>
      </c>
    </row>
    <row r="13" spans="1:2" s="1203" customFormat="1">
      <c r="A13" s="1201" t="s">
        <v>529</v>
      </c>
      <c r="B13" s="1202"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4554</v>
      </c>
    </row>
    <row r="21" spans="1:2" s="1203" customFormat="1">
      <c r="A21" s="1201" t="s">
        <v>537</v>
      </c>
      <c r="B21" s="1202">
        <f ca="1">'预评函-2'!D7</f>
        <v>38983</v>
      </c>
    </row>
    <row r="22" spans="1:2" s="1203" customFormat="1">
      <c r="A22" s="1201" t="s">
        <v>538</v>
      </c>
      <c r="B22" s="1202" t="str">
        <f ca="1">'预评函-2'!D6</f>
        <v>肆仟伍佰伍拾肆万元整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4554</v>
      </c>
    </row>
    <row r="31" spans="1:2" s="1203" customFormat="1">
      <c r="A31" s="1201" t="s">
        <v>576</v>
      </c>
      <c r="B31" s="1202">
        <f ca="1">'预评函-2'!D15</f>
        <v>38983</v>
      </c>
    </row>
    <row r="32" spans="1:2" s="1203" customFormat="1">
      <c r="A32" s="1201" t="s">
        <v>543</v>
      </c>
      <c r="B32" s="1202" t="str">
        <f ca="1">'预评函-2'!D14</f>
        <v>肆仟伍佰伍拾肆万元整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18448.600000000002</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吴薇</v>
      </c>
    </row>
    <row r="71" spans="1:2">
      <c r="A71" s="1201" t="s">
        <v>563</v>
      </c>
      <c r="B71" s="1202">
        <f ca="1">'预评函-4'!B4</f>
        <v>1419970001</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86" t="str">
        <f>项目基本情况!B1</f>
        <v>北京市房地产抵押价值预评估</v>
      </c>
      <c r="C37" s="3586"/>
      <c r="D37" s="3586"/>
      <c r="E37" s="3586"/>
      <c r="F37" s="3586"/>
      <c r="G37" s="3586"/>
      <c r="H37" s="3586"/>
      <c r="I37" s="3586"/>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吴薇（注册号：1419970001)、（注册号：0)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896</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897</v>
      </c>
    </row>
    <row r="6" spans="1:1" ht="18.75">
      <c r="A6" s="1482" t="s">
        <v>898</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估价对象为北京市房地产，为所有。根据《国有土地使用证》[]，估价对象（分摊）出让国有建设用地使用权面积为0平方米，建筑面积为18448.6平方米。</v>
      </c>
    </row>
    <row r="8" spans="1:1" ht="57.75">
      <c r="A8" s="1483" t="s">
        <v>899</v>
      </c>
    </row>
    <row r="9" spans="1:1" ht="18.75">
      <c r="A9" s="1482" t="s">
        <v>900</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估价对象为北京市房地产,属开发建设的，该项目尚在开发建设中。根据《国有土地使用证》[]，估价对象（分摊）出让国有建设用地使用权面积为0平方米，规划建筑面积为18448.6平方米。</v>
      </c>
    </row>
    <row r="11" spans="1:1" ht="76.5">
      <c r="A11" s="1483" t="s">
        <v>901</v>
      </c>
    </row>
    <row r="12" spans="1:1" ht="18.75">
      <c r="A12" s="1481" t="s">
        <v>902</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903</v>
      </c>
    </row>
    <row r="15" spans="1:1" ht="18">
      <c r="A15" s="1486" t="str">
        <f>TEXT(项目基本情况!D3,"yyyy年m月d日;;")&amp;IF(项目基本情况!D3=项目基本情况!B3,"（评估专业人员实地查勘之日）","")</f>
        <v>2024年4月18日（评估专业人员实地查勘之日）</v>
      </c>
    </row>
    <row r="16" spans="1:1" ht="18.75">
      <c r="A16" s="1485" t="s">
        <v>904</v>
      </c>
    </row>
    <row r="17" spans="1:1" ht="75">
      <c r="A17" s="1480" t="s">
        <v>905</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894</v>
      </c>
    </row>
    <row r="24" spans="1:1" ht="18">
      <c r="A24" s="1487" t="str">
        <f>"本次评估采用的主估价方法为"&amp;结果表!K4&amp;"和"&amp;结果表!L4&amp;"。"</f>
        <v>本次评估采用的主估价方法为成本法和收益法。</v>
      </c>
    </row>
    <row r="25" spans="1:1" ht="18">
      <c r="A25" s="1487"/>
    </row>
    <row r="26" spans="1:1" ht="18.75">
      <c r="A26" s="1488" t="s">
        <v>895</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906</v>
      </c>
      <c r="B1" s="1491"/>
      <c r="C1" s="1491"/>
      <c r="D1" s="1491"/>
      <c r="E1" s="1491"/>
    </row>
    <row r="2" spans="1:5" ht="78" customHeight="1">
      <c r="A2" s="359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91"/>
      <c r="C2" s="3591"/>
      <c r="D2" s="3591"/>
      <c r="E2" s="3591"/>
    </row>
    <row r="3" spans="1:5" ht="18">
      <c r="A3" s="3592" t="str">
        <f>IF(项目基本情况!B9="房地产市场价值","估价结果一览表（市场价值不需“结果表-1”）","估价结果一览表")</f>
        <v>估价结果一览表</v>
      </c>
      <c r="B3" s="3592"/>
      <c r="C3" s="3592"/>
      <c r="D3" s="3592"/>
      <c r="E3" s="3592"/>
    </row>
    <row r="4" spans="1:5" ht="19.5" thickBot="1">
      <c r="A4" s="1493"/>
      <c r="B4" s="3590" t="s">
        <v>915</v>
      </c>
      <c r="C4" s="3590"/>
      <c r="D4" s="3590"/>
      <c r="E4" s="1493"/>
    </row>
    <row r="5" spans="1:5" ht="16.5" thickTop="1">
      <c r="A5" s="1491"/>
      <c r="B5" s="3588" t="s">
        <v>907</v>
      </c>
      <c r="C5" s="1494" t="s">
        <v>908</v>
      </c>
      <c r="D5" s="850">
        <f ca="1">结果表!H101</f>
        <v>4554</v>
      </c>
      <c r="E5" s="1491"/>
    </row>
    <row r="6" spans="1:5" ht="15.75">
      <c r="A6" s="1491"/>
      <c r="B6" s="3588"/>
      <c r="C6" s="1494" t="s">
        <v>909</v>
      </c>
      <c r="D6" s="850" t="str">
        <f ca="1">NUMBERSTRING(INT(D5*10000),2)&amp;"元整"</f>
        <v>肆仟伍佰伍拾肆万元整</v>
      </c>
      <c r="E6" s="1491"/>
    </row>
    <row r="7" spans="1:5" ht="15.75">
      <c r="A7" s="1491"/>
      <c r="B7" s="3593"/>
      <c r="C7" s="1495" t="s">
        <v>910</v>
      </c>
      <c r="D7" s="851">
        <f ca="1">结果表!H102</f>
        <v>38983</v>
      </c>
      <c r="E7" s="1491"/>
    </row>
    <row r="8" spans="1:5" ht="15.75">
      <c r="A8" s="1491"/>
      <c r="B8" s="3594" t="str">
        <f>结果表!E103</f>
        <v>2.估价师知悉的法定优先受偿款</v>
      </c>
      <c r="C8" s="1496" t="s">
        <v>911</v>
      </c>
      <c r="D8" s="851">
        <f>结果表!H103</f>
        <v>0</v>
      </c>
      <c r="E8" s="1491"/>
    </row>
    <row r="9" spans="1:5" ht="15.75">
      <c r="A9" s="1491"/>
      <c r="B9" s="3596"/>
      <c r="C9" s="1494" t="s">
        <v>909</v>
      </c>
      <c r="D9" s="850" t="str">
        <f>NUMBERSTRING(INT(D8*10000),2)&amp;"元整"</f>
        <v>零元整</v>
      </c>
      <c r="E9" s="1491"/>
    </row>
    <row r="10" spans="1:5" ht="15">
      <c r="A10" s="1491"/>
      <c r="B10" s="1497" t="s">
        <v>914</v>
      </c>
      <c r="C10" s="1498" t="s">
        <v>912</v>
      </c>
      <c r="D10" s="852">
        <f>结果表!H104</f>
        <v>0</v>
      </c>
      <c r="E10" s="1491"/>
    </row>
    <row r="11" spans="1:5" ht="15">
      <c r="A11" s="1491"/>
      <c r="B11" s="1497" t="s">
        <v>916</v>
      </c>
      <c r="C11" s="1498" t="s">
        <v>917</v>
      </c>
      <c r="D11" s="852">
        <f>结果表!H105</f>
        <v>0</v>
      </c>
      <c r="E11" s="1491"/>
    </row>
    <row r="12" spans="1:5" ht="15">
      <c r="A12" s="1491"/>
      <c r="B12" s="1497" t="s">
        <v>918</v>
      </c>
      <c r="C12" s="1498" t="s">
        <v>917</v>
      </c>
      <c r="D12" s="852">
        <f>结果表!H106</f>
        <v>0</v>
      </c>
      <c r="E12" s="1491"/>
    </row>
    <row r="13" spans="1:5" ht="15.75">
      <c r="A13" s="1491"/>
      <c r="B13" s="3587" t="str">
        <f>结果表!E107</f>
        <v>3.房地产抵押价值</v>
      </c>
      <c r="C13" s="1499" t="s">
        <v>908</v>
      </c>
      <c r="D13" s="853">
        <f ca="1">结果表!H107</f>
        <v>4554</v>
      </c>
      <c r="E13" s="1491"/>
    </row>
    <row r="14" spans="1:5" ht="15.75">
      <c r="A14" s="1491"/>
      <c r="B14" s="3588"/>
      <c r="C14" s="1494" t="s">
        <v>909</v>
      </c>
      <c r="D14" s="850" t="str">
        <f ca="1">NUMBERSTRING(INT(D13*10000),2)&amp;"元整"</f>
        <v>肆仟伍佰伍拾肆万元整</v>
      </c>
      <c r="E14" s="1491"/>
    </row>
    <row r="15" spans="1:5" ht="15">
      <c r="A15" s="1491"/>
      <c r="B15" s="3593"/>
      <c r="C15" s="1495" t="s">
        <v>919</v>
      </c>
      <c r="D15" s="859">
        <f ca="1">结果表!H108</f>
        <v>38983</v>
      </c>
      <c r="E15" s="1491"/>
    </row>
    <row r="16" spans="1:5" ht="15">
      <c r="A16" s="1491"/>
      <c r="B16" s="3594" t="str">
        <f>结果表!E109</f>
        <v>——</v>
      </c>
      <c r="C16" s="1499" t="s">
        <v>920</v>
      </c>
      <c r="D16" s="1500" t="str">
        <f>结果表!H109</f>
        <v>——</v>
      </c>
      <c r="E16" s="1491"/>
    </row>
    <row r="17" spans="1:5" ht="15.75">
      <c r="A17" s="1491"/>
      <c r="B17" s="3595"/>
      <c r="C17" s="1494" t="s">
        <v>921</v>
      </c>
      <c r="D17" s="850" t="e">
        <f>NUMBERSTRING(INT(D16*10000),2)&amp;"元整"</f>
        <v>#VALUE!</v>
      </c>
      <c r="E17" s="1491"/>
    </row>
    <row r="18" spans="1:5" ht="15">
      <c r="A18" s="1491"/>
      <c r="B18" s="3596"/>
      <c r="C18" s="1495" t="s">
        <v>910</v>
      </c>
      <c r="D18" s="859" t="str">
        <f>结果表!H110</f>
        <v>——</v>
      </c>
      <c r="E18" s="1491"/>
    </row>
    <row r="19" spans="1:5" ht="15.75">
      <c r="A19" s="1491"/>
      <c r="B19" s="3587" t="str">
        <f>结果表!E111</f>
        <v>——</v>
      </c>
      <c r="C19" s="1499" t="s">
        <v>908</v>
      </c>
      <c r="D19" s="851" t="str">
        <f>结果表!H111</f>
        <v>——</v>
      </c>
      <c r="E19" s="1491"/>
    </row>
    <row r="20" spans="1:5" ht="15.75">
      <c r="A20" s="1491"/>
      <c r="B20" s="3588"/>
      <c r="C20" s="1494" t="s">
        <v>921</v>
      </c>
      <c r="D20" s="850" t="e">
        <f>NUMBERSTRING(INT(D19*10000),2)&amp;"元整"</f>
        <v>#VALUE!</v>
      </c>
      <c r="E20" s="1491"/>
    </row>
    <row r="21" spans="1:5" ht="15.75" thickBot="1">
      <c r="A21" s="1491"/>
      <c r="B21" s="3589"/>
      <c r="C21" s="1501" t="s">
        <v>919</v>
      </c>
      <c r="D21" s="860" t="str">
        <f>结果表!H112</f>
        <v>——</v>
      </c>
      <c r="E21" s="1491"/>
    </row>
    <row r="22" spans="1:5" ht="15" thickTop="1">
      <c r="A22" s="1491"/>
      <c r="B22" s="1502" t="s">
        <v>922</v>
      </c>
      <c r="C22" s="1491"/>
      <c r="D22" s="1491"/>
      <c r="E22" s="1491"/>
    </row>
    <row r="23" spans="1:5">
      <c r="A23" s="1491"/>
      <c r="B23" s="1491"/>
      <c r="C23" s="1491"/>
      <c r="D23" s="1491"/>
      <c r="E23" s="1491"/>
    </row>
    <row r="24" spans="1:5" ht="18.75">
      <c r="A24" s="1503"/>
      <c r="B24" s="1504" t="s">
        <v>913</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604" t="str">
        <f>IF(项目基本情况!B9="房地产市场价值","估价结果一览表","结果表-2")</f>
        <v>结果表-2</v>
      </c>
      <c r="B1" s="3604"/>
      <c r="C1" s="3604"/>
      <c r="D1" s="3604"/>
      <c r="E1" s="3604"/>
      <c r="F1" s="3604"/>
      <c r="G1" s="3604"/>
      <c r="H1" s="3604"/>
      <c r="I1" s="3604"/>
    </row>
    <row r="2" spans="1:9" ht="30" customHeight="1" thickTop="1">
      <c r="A2" s="3605" t="s">
        <v>926</v>
      </c>
      <c r="B2" s="3605" t="s">
        <v>927</v>
      </c>
      <c r="C2" s="3605" t="s">
        <v>928</v>
      </c>
      <c r="D2" s="3605" t="str">
        <f>结果表!D116</f>
        <v>出让国有建设用地使用权价值</v>
      </c>
      <c r="E2" s="3605"/>
      <c r="F2" s="3605" t="str">
        <f>结果表!F116</f>
        <v>在建建筑物价值</v>
      </c>
      <c r="G2" s="3605"/>
      <c r="H2" s="3605" t="str">
        <f>IF(项目基本情况!B9="房地产市场价值","房地产市场价值","房地产价值")</f>
        <v>房地产价值</v>
      </c>
      <c r="I2" s="3605"/>
    </row>
    <row r="3" spans="1:9" ht="15">
      <c r="A3" s="3600"/>
      <c r="B3" s="3600"/>
      <c r="C3" s="3600"/>
      <c r="D3" s="854" t="s">
        <v>923</v>
      </c>
      <c r="E3" s="854" t="s">
        <v>929</v>
      </c>
      <c r="F3" s="854" t="s">
        <v>923</v>
      </c>
      <c r="G3" s="854" t="s">
        <v>924</v>
      </c>
      <c r="H3" s="854" t="s">
        <v>923</v>
      </c>
      <c r="I3" s="854" t="s">
        <v>924</v>
      </c>
    </row>
    <row r="4" spans="1:9" ht="15">
      <c r="A4" s="1505" t="str">
        <f>项目基本情况!S2</f>
        <v>北京市房地产</v>
      </c>
      <c r="B4" s="854">
        <f>项目基本情况!C17</f>
        <v>18448.600000000002</v>
      </c>
      <c r="C4" s="854">
        <f>项目基本情况!C18</f>
        <v>0</v>
      </c>
      <c r="D4" s="854" t="e">
        <f ca="1">结果表!D118</f>
        <v>#REF!</v>
      </c>
      <c r="E4" s="854" t="e">
        <f ca="1">结果表!E118</f>
        <v>#REF!</v>
      </c>
      <c r="F4" s="854" t="e">
        <f ca="1">结果表!F118</f>
        <v>#REF!</v>
      </c>
      <c r="G4" s="854" t="e">
        <f ca="1">结果表!G118</f>
        <v>#REF!</v>
      </c>
      <c r="H4" s="854">
        <f ca="1">结果表!H118</f>
        <v>4554</v>
      </c>
      <c r="I4" s="854">
        <f ca="1">结果表!I118</f>
        <v>38983</v>
      </c>
    </row>
    <row r="5" spans="1:9" ht="30" customHeight="1">
      <c r="A5" s="3600" t="s">
        <v>925</v>
      </c>
      <c r="B5" s="3600"/>
      <c r="C5" s="3600"/>
      <c r="D5" s="3600" t="e">
        <f ca="1">结果表!D119</f>
        <v>#REF!</v>
      </c>
      <c r="E5" s="3600"/>
      <c r="F5" s="3600" t="e">
        <f ca="1">结果表!F119</f>
        <v>#REF!</v>
      </c>
      <c r="G5" s="3600"/>
      <c r="H5" s="3600" t="str">
        <f ca="1">结果表!H119</f>
        <v>肆仟伍佰伍拾肆万元整</v>
      </c>
      <c r="I5" s="3600"/>
    </row>
    <row r="6" spans="1:9" ht="15.75">
      <c r="A6" s="3599" t="str">
        <f>结果表!A120</f>
        <v>估价师知悉的法定优先受偿款</v>
      </c>
      <c r="B6" s="3599"/>
      <c r="C6" s="3599"/>
      <c r="D6" s="3599">
        <f>结果表!D120</f>
        <v>0</v>
      </c>
      <c r="E6" s="3599"/>
      <c r="F6" s="3599"/>
      <c r="G6" s="3599"/>
      <c r="H6" s="3599"/>
      <c r="I6" s="3599"/>
    </row>
    <row r="7" spans="1:9" ht="15">
      <c r="A7" s="3600" t="s">
        <v>925</v>
      </c>
      <c r="B7" s="3600"/>
      <c r="C7" s="3600"/>
      <c r="D7" s="3601" t="str">
        <f>结果表!D121</f>
        <v>零元整</v>
      </c>
      <c r="E7" s="3602"/>
      <c r="F7" s="3602"/>
      <c r="G7" s="3602"/>
      <c r="H7" s="3602"/>
      <c r="I7" s="3603"/>
    </row>
    <row r="8" spans="1:9" ht="15.75">
      <c r="A8" s="3599" t="str">
        <f>结果表!A122</f>
        <v>房地产抵押价值</v>
      </c>
      <c r="B8" s="3599"/>
      <c r="C8" s="3599"/>
      <c r="D8" s="3599">
        <f ca="1">结果表!D122</f>
        <v>4554</v>
      </c>
      <c r="E8" s="3599"/>
      <c r="F8" s="3599"/>
      <c r="G8" s="3599"/>
      <c r="H8" s="3599"/>
      <c r="I8" s="3599"/>
    </row>
    <row r="9" spans="1:9" ht="15">
      <c r="A9" s="3600" t="s">
        <v>925</v>
      </c>
      <c r="B9" s="3600"/>
      <c r="C9" s="3600"/>
      <c r="D9" s="3600" t="str">
        <f ca="1">结果表!D123</f>
        <v>肆仟伍佰伍拾肆万元整</v>
      </c>
      <c r="E9" s="3600"/>
      <c r="F9" s="3600"/>
      <c r="G9" s="3600"/>
      <c r="H9" s="3600"/>
      <c r="I9" s="3600"/>
    </row>
    <row r="10" spans="1:9" ht="15.75">
      <c r="A10" s="3599" t="str">
        <f>结果表!A124</f>
        <v/>
      </c>
      <c r="B10" s="3599"/>
      <c r="C10" s="3599"/>
      <c r="D10" s="3599" t="str">
        <f>结果表!D124</f>
        <v>——</v>
      </c>
      <c r="E10" s="3599"/>
      <c r="F10" s="3599"/>
      <c r="G10" s="3599"/>
      <c r="H10" s="3599"/>
      <c r="I10" s="3599"/>
    </row>
    <row r="11" spans="1:9" ht="15">
      <c r="A11" s="3600" t="s">
        <v>925</v>
      </c>
      <c r="B11" s="3600"/>
      <c r="C11" s="3600"/>
      <c r="D11" s="3600" t="e">
        <f>结果表!D125</f>
        <v>#VALUE!</v>
      </c>
      <c r="E11" s="3600"/>
      <c r="F11" s="3600"/>
      <c r="G11" s="3600"/>
      <c r="H11" s="3600"/>
      <c r="I11" s="3600"/>
    </row>
    <row r="12" spans="1:9" ht="15.75">
      <c r="A12" s="3599" t="str">
        <f>结果表!A126</f>
        <v/>
      </c>
      <c r="B12" s="3599"/>
      <c r="C12" s="3599"/>
      <c r="D12" s="3599" t="str">
        <f>结果表!D126</f>
        <v>——</v>
      </c>
      <c r="E12" s="3599"/>
      <c r="F12" s="3599"/>
      <c r="G12" s="3599"/>
      <c r="H12" s="3599"/>
      <c r="I12" s="3599"/>
    </row>
    <row r="13" spans="1:9" ht="15.75" thickBot="1">
      <c r="A13" s="3597" t="s">
        <v>925</v>
      </c>
      <c r="B13" s="3597"/>
      <c r="C13" s="3597"/>
      <c r="D13" s="3597" t="e">
        <f>结果表!D127</f>
        <v>#VALUE!</v>
      </c>
      <c r="E13" s="3597"/>
      <c r="F13" s="3597"/>
      <c r="G13" s="3597"/>
      <c r="H13" s="3597"/>
      <c r="I13" s="3597"/>
    </row>
    <row r="14" spans="1:9" ht="15" thickTop="1">
      <c r="A14" s="3598" t="s">
        <v>930</v>
      </c>
      <c r="B14" s="3598"/>
      <c r="C14" s="3598"/>
      <c r="D14" s="3598"/>
      <c r="E14" s="3598"/>
      <c r="F14" s="3598"/>
      <c r="G14" s="3598"/>
      <c r="H14" s="3598"/>
      <c r="I14" s="3598"/>
    </row>
    <row r="16" spans="1:9" ht="18.75">
      <c r="A16" s="1506" t="s">
        <v>913</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612" t="s">
        <v>947</v>
      </c>
      <c r="B1" s="3612"/>
      <c r="C1" s="3612"/>
      <c r="D1" s="3612"/>
    </row>
    <row r="2" spans="1:4" ht="18">
      <c r="A2" s="3613" t="s">
        <v>931</v>
      </c>
      <c r="B2" s="3613"/>
      <c r="C2" s="3613"/>
      <c r="D2" s="3613"/>
    </row>
    <row r="3" spans="1:4" ht="18.75">
      <c r="A3" s="1509" t="s">
        <v>932</v>
      </c>
      <c r="B3" s="1509" t="s">
        <v>933</v>
      </c>
      <c r="C3" s="1509" t="s">
        <v>934</v>
      </c>
      <c r="D3" s="1509" t="s">
        <v>935</v>
      </c>
    </row>
    <row r="4" spans="1:4" ht="56.25" customHeight="1">
      <c r="A4" s="1510" t="str">
        <f>项目基本情况!B4</f>
        <v>吴薇</v>
      </c>
      <c r="B4" s="1511">
        <f ca="1">项目基本情况!C4</f>
        <v>1419970001</v>
      </c>
      <c r="C4" s="1512"/>
      <c r="D4" s="1513" t="s">
        <v>936</v>
      </c>
    </row>
    <row r="5" spans="1:4" ht="56.25" customHeight="1">
      <c r="A5" s="1510">
        <f>项目基本情况!D4</f>
        <v>0</v>
      </c>
      <c r="B5" s="1511">
        <f>项目基本情况!E4</f>
        <v>0</v>
      </c>
      <c r="C5" s="1514"/>
      <c r="D5" s="1513" t="s">
        <v>936</v>
      </c>
    </row>
    <row r="6" spans="1:4" ht="18">
      <c r="A6" s="3613" t="s">
        <v>937</v>
      </c>
      <c r="B6" s="3613"/>
      <c r="C6" s="3613"/>
      <c r="D6" s="3613"/>
    </row>
    <row r="7" spans="1:4" ht="18.75">
      <c r="A7" s="1509" t="s">
        <v>932</v>
      </c>
      <c r="B7" s="1511" t="s">
        <v>938</v>
      </c>
      <c r="C7" s="1509" t="s">
        <v>934</v>
      </c>
      <c r="D7" s="1509" t="s">
        <v>935</v>
      </c>
    </row>
    <row r="8" spans="1:4" ht="56.25" customHeight="1">
      <c r="A8" s="1515" t="s">
        <v>390</v>
      </c>
      <c r="B8" s="1515" t="s">
        <v>0</v>
      </c>
      <c r="C8" s="1512"/>
      <c r="D8" s="1513" t="s">
        <v>936</v>
      </c>
    </row>
    <row r="9" spans="1:4">
      <c r="A9" s="675"/>
      <c r="B9" s="675"/>
      <c r="C9" s="675"/>
      <c r="D9" s="675"/>
    </row>
    <row r="10" spans="1:4" ht="18.75">
      <c r="A10" s="1516" t="s">
        <v>939</v>
      </c>
      <c r="B10" s="675"/>
      <c r="C10" s="675"/>
      <c r="D10" s="675"/>
    </row>
    <row r="11" spans="1:4" ht="30" customHeight="1">
      <c r="A11" s="3614" t="s">
        <v>940</v>
      </c>
      <c r="B11" s="3606"/>
      <c r="C11" s="3606"/>
      <c r="D11" s="3606"/>
    </row>
    <row r="12" spans="1:4" ht="15.75">
      <c r="A12" s="360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611"/>
      <c r="C12" s="3611"/>
      <c r="D12" s="3611"/>
    </row>
    <row r="13" spans="1:4" ht="30" customHeight="1">
      <c r="A13" s="360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611"/>
      <c r="C13" s="3611"/>
      <c r="D13" s="3611"/>
    </row>
    <row r="14" spans="1:4" ht="15.75" customHeight="1">
      <c r="A14" s="3606" t="str">
        <f>IF(项目基本情况!B8="抵押","4.本次评估估价师所知悉的法定优先受偿款情况说明如下：","——")</f>
        <v>4.本次评估估价师所知悉的法定优先受偿款情况说明如下：</v>
      </c>
      <c r="B14" s="3611"/>
      <c r="C14" s="3611"/>
      <c r="D14" s="3611"/>
    </row>
    <row r="15" spans="1:4" ht="42" customHeight="1">
      <c r="A15" s="360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606"/>
      <c r="C15" s="3606"/>
      <c r="D15" s="3606"/>
    </row>
    <row r="16" spans="1:4" ht="30" customHeight="1">
      <c r="A16" s="3608" t="s">
        <v>941</v>
      </c>
      <c r="B16" s="3608"/>
      <c r="C16" s="3608"/>
      <c r="D16" s="3608"/>
    </row>
    <row r="17" spans="1:4" ht="144" customHeight="1">
      <c r="A17" s="3608" t="s">
        <v>942</v>
      </c>
      <c r="B17" s="3608"/>
      <c r="C17" s="3608"/>
      <c r="D17" s="3608"/>
    </row>
    <row r="18" spans="1:4" ht="15.75" customHeight="1">
      <c r="A18" s="3606" t="str">
        <f>IF(项目基本情况!B8="抵押",结果表!K120,"——")</f>
        <v>故，本次评估不存在估价师知悉的法定优先受偿款</v>
      </c>
      <c r="B18" s="3606"/>
      <c r="C18" s="3606"/>
      <c r="D18" s="3606"/>
    </row>
    <row r="19" spans="1:4" ht="46.5" customHeight="1">
      <c r="A19" s="360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606"/>
      <c r="C19" s="3606"/>
      <c r="D19" s="3606"/>
    </row>
    <row r="20" spans="1:4" ht="57.75" customHeight="1">
      <c r="A20" s="360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06"/>
      <c r="C20" s="3606"/>
      <c r="D20" s="3606"/>
    </row>
    <row r="21" spans="1:4" ht="57.75" customHeight="1">
      <c r="A21" s="360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09"/>
      <c r="C21" s="3609"/>
      <c r="D21" s="3609"/>
    </row>
    <row r="22" spans="1:4" ht="18.75" customHeight="1">
      <c r="A22" s="3610" t="s">
        <v>943</v>
      </c>
      <c r="B22" s="3610"/>
      <c r="C22" s="3610"/>
      <c r="D22" s="3610"/>
    </row>
    <row r="23" spans="1:4">
      <c r="A23" s="1517"/>
      <c r="B23" s="1489"/>
      <c r="C23" s="1489"/>
      <c r="D23" s="1489"/>
    </row>
    <row r="24" spans="1:4">
      <c r="A24" s="1517"/>
      <c r="B24" s="1489"/>
      <c r="C24" s="1489"/>
      <c r="D24" s="1489"/>
    </row>
    <row r="25" spans="1:4" ht="18.75">
      <c r="A25" s="1518" t="s">
        <v>944</v>
      </c>
    </row>
    <row r="26" spans="1:4" ht="18">
      <c r="A26" s="1487"/>
    </row>
    <row r="27" spans="1:4" ht="18.75">
      <c r="A27" s="1487" t="s">
        <v>945</v>
      </c>
    </row>
    <row r="30" spans="1:4" ht="18.75">
      <c r="D30" s="1518" t="s">
        <v>946</v>
      </c>
    </row>
    <row r="31" spans="1:4" ht="13.5" customHeight="1">
      <c r="C31" s="3607">
        <v>42551</v>
      </c>
      <c r="D31" s="360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948</v>
      </c>
    </row>
    <row r="3" spans="1:7">
      <c r="A3" s="1523" t="s">
        <v>55</v>
      </c>
      <c r="B3" s="1507" t="s">
        <v>949</v>
      </c>
      <c r="G3" s="1524"/>
    </row>
    <row r="4" spans="1:7">
      <c r="G4" s="1524"/>
    </row>
    <row r="5" spans="1:7">
      <c r="A5" s="1526" t="s">
        <v>46</v>
      </c>
      <c r="B5" s="1507" t="s">
        <v>950</v>
      </c>
      <c r="G5" s="1524"/>
    </row>
    <row r="6" spans="1:7">
      <c r="G6" s="1524"/>
    </row>
    <row r="7" spans="1:7">
      <c r="A7" s="1527" t="s">
        <v>108</v>
      </c>
      <c r="B7" s="1507" t="s">
        <v>951</v>
      </c>
      <c r="G7" s="1524"/>
    </row>
    <row r="8" spans="1:7">
      <c r="G8" s="1524"/>
    </row>
    <row r="9" spans="1:7">
      <c r="A9" s="1528" t="s">
        <v>47</v>
      </c>
      <c r="B9" s="1507" t="s">
        <v>952</v>
      </c>
    </row>
    <row r="11" spans="1:7">
      <c r="A11" s="1529" t="s">
        <v>48</v>
      </c>
      <c r="B11" s="1530" t="s">
        <v>45</v>
      </c>
    </row>
    <row r="13" spans="1:7">
      <c r="A13" s="1531" t="s">
        <v>953</v>
      </c>
    </row>
    <row r="15" spans="1:7" ht="13.5">
      <c r="A15" s="3620" t="s">
        <v>954</v>
      </c>
      <c r="B15" s="3615" t="s">
        <v>109</v>
      </c>
      <c r="C15" s="3616"/>
    </row>
    <row r="16" spans="1:7" ht="13.5">
      <c r="A16" s="3621"/>
      <c r="B16" s="3615" t="s">
        <v>42</v>
      </c>
      <c r="C16" s="3616"/>
    </row>
    <row r="17" spans="1:3" ht="13.5">
      <c r="A17" s="3621"/>
      <c r="B17" s="3618" t="s">
        <v>955</v>
      </c>
      <c r="C17" s="1532" t="s">
        <v>954</v>
      </c>
    </row>
    <row r="18" spans="1:3" ht="13.5">
      <c r="A18" s="3621"/>
      <c r="B18" s="3618"/>
      <c r="C18" s="1532" t="s">
        <v>956</v>
      </c>
    </row>
    <row r="19" spans="1:3" ht="13.5">
      <c r="A19" s="3621"/>
      <c r="B19" s="3618"/>
      <c r="C19" s="1532" t="s">
        <v>957</v>
      </c>
    </row>
    <row r="20" spans="1:3" ht="13.5">
      <c r="A20" s="3622"/>
      <c r="B20" s="3617" t="s">
        <v>958</v>
      </c>
      <c r="C20" s="3616"/>
    </row>
    <row r="21" spans="1:3" ht="13.5">
      <c r="A21" s="1533" t="s">
        <v>959</v>
      </c>
      <c r="B21" s="1534"/>
      <c r="C21" s="1535"/>
    </row>
    <row r="22" spans="1:3" ht="13.5">
      <c r="A22" s="3619" t="s">
        <v>960</v>
      </c>
      <c r="B22" s="3617" t="s">
        <v>961</v>
      </c>
      <c r="C22" s="3616"/>
    </row>
    <row r="23" spans="1:3" ht="13.5">
      <c r="A23" s="3619"/>
      <c r="B23" s="3617" t="s">
        <v>962</v>
      </c>
      <c r="C23" s="3616"/>
    </row>
    <row r="24" spans="1:3" ht="13.5">
      <c r="A24" s="3619"/>
      <c r="B24" s="3617" t="s">
        <v>963</v>
      </c>
      <c r="C24" s="3616"/>
    </row>
    <row r="25" spans="1:3" ht="13.5">
      <c r="A25" s="3619"/>
      <c r="B25" s="3618" t="s">
        <v>964</v>
      </c>
      <c r="C25" s="1532" t="s">
        <v>965</v>
      </c>
    </row>
    <row r="26" spans="1:3" ht="13.5">
      <c r="A26" s="3619"/>
      <c r="B26" s="3618"/>
      <c r="C26" s="1532" t="s">
        <v>966</v>
      </c>
    </row>
    <row r="27" spans="1:3" ht="13.5">
      <c r="A27" s="3619"/>
      <c r="B27" s="3618"/>
      <c r="C27" s="1532" t="s">
        <v>967</v>
      </c>
    </row>
    <row r="28" spans="1:3" ht="13.5">
      <c r="A28" s="3619"/>
      <c r="B28" s="3618"/>
      <c r="C28" s="1532" t="s">
        <v>968</v>
      </c>
    </row>
    <row r="29" spans="1:3" ht="13.5">
      <c r="A29" s="3619"/>
      <c r="B29" s="3618"/>
      <c r="C29" s="1532" t="s">
        <v>969</v>
      </c>
    </row>
    <row r="30" spans="1:3" ht="13.5">
      <c r="A30" s="3619"/>
      <c r="B30" s="3618"/>
      <c r="C30" s="1532" t="s">
        <v>970</v>
      </c>
    </row>
    <row r="31" spans="1:3" ht="13.5">
      <c r="A31" s="3619"/>
      <c r="B31" s="3618"/>
      <c r="C31" s="1532" t="s">
        <v>971</v>
      </c>
    </row>
    <row r="32" spans="1:3" ht="13.5">
      <c r="A32" s="3619"/>
      <c r="B32" s="3618"/>
      <c r="C32" s="1532" t="s">
        <v>972</v>
      </c>
    </row>
    <row r="33" spans="1:3" ht="13.5">
      <c r="A33" s="3619"/>
      <c r="B33" s="3618"/>
      <c r="C33" s="1532" t="s">
        <v>973</v>
      </c>
    </row>
    <row r="34" spans="1:3">
      <c r="A34" s="1536" t="s">
        <v>49</v>
      </c>
    </row>
    <row r="37" spans="1:3">
      <c r="A37" s="1536" t="s">
        <v>974</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2136</v>
      </c>
      <c r="B2" s="2339">
        <f ca="1">TODAY()</f>
        <v>45406</v>
      </c>
      <c r="C2" s="2340" t="s">
        <v>2137</v>
      </c>
      <c r="D2" s="2340"/>
      <c r="E2" s="2340"/>
      <c r="F2" s="2336"/>
      <c r="G2" s="2336"/>
      <c r="H2" s="2336"/>
    </row>
    <row r="3" spans="1:8" ht="24" customHeight="1">
      <c r="A3" s="2341" t="s">
        <v>2138</v>
      </c>
      <c r="B3" s="2342" t="s">
        <v>2139</v>
      </c>
      <c r="C3" s="2342" t="s">
        <v>2140</v>
      </c>
      <c r="D3" s="2343" t="s">
        <v>2141</v>
      </c>
      <c r="E3" s="2344" t="s">
        <v>2142</v>
      </c>
      <c r="F3" s="1304" t="s">
        <v>2143</v>
      </c>
      <c r="G3" s="2342" t="s">
        <v>2140</v>
      </c>
      <c r="H3" s="2343" t="s">
        <v>2144</v>
      </c>
    </row>
    <row r="4" spans="1:8" ht="24" customHeight="1">
      <c r="A4" s="1304" t="s">
        <v>2145</v>
      </c>
      <c r="B4" s="1304">
        <f ca="1">IF(C4&lt;B2,"已过期",1119970066)</f>
        <v>1119970066</v>
      </c>
      <c r="C4" s="2345">
        <v>45937</v>
      </c>
      <c r="D4" s="2346" t="str">
        <f ca="1">A4&amp;"（注册号："&amp;B4&amp;"）"</f>
        <v>梁津（注册号：1119970066）</v>
      </c>
      <c r="E4" s="2347" t="s">
        <v>2145</v>
      </c>
      <c r="F4" s="1304">
        <f ca="1">IF(G4&lt;B2,"已过期",96010014)</f>
        <v>96010014</v>
      </c>
      <c r="G4" s="2348">
        <v>47118</v>
      </c>
      <c r="H4" s="2349" t="str">
        <f ca="1">E4&amp;"（注册号："&amp;F4&amp;"）"</f>
        <v>梁津（注册号：96010014）</v>
      </c>
    </row>
    <row r="5" spans="1:8" ht="24" customHeight="1">
      <c r="A5" s="1304" t="s">
        <v>2146</v>
      </c>
      <c r="B5" s="1304">
        <f ca="1">IF(C5&lt;B2,"已过期",1119970111)</f>
        <v>1119970111</v>
      </c>
      <c r="C5" s="2345">
        <v>45937</v>
      </c>
      <c r="D5" s="2346" t="str">
        <f t="shared" ref="D5:D15" ca="1" si="0">A5&amp;"（注册号："&amp;B5&amp;"）"</f>
        <v>叶凌（注册号：1119970111）</v>
      </c>
      <c r="E5" s="2347" t="s">
        <v>2146</v>
      </c>
      <c r="F5" s="1304">
        <f ca="1">IF(G5&lt;B2,"已过期",94010078)</f>
        <v>94010078</v>
      </c>
      <c r="G5" s="2348">
        <v>46387</v>
      </c>
      <c r="H5" s="2349" t="str">
        <f t="shared" ref="H5:H16" ca="1" si="1">E5&amp;"（注册号："&amp;F5&amp;"）"</f>
        <v>叶凌（注册号：94010078）</v>
      </c>
    </row>
    <row r="6" spans="1:8" ht="24" customHeight="1">
      <c r="A6" s="1304" t="s">
        <v>2147</v>
      </c>
      <c r="B6" s="1304">
        <f ca="1">IF(C6&lt;B2,"已过期",1120050019)</f>
        <v>1120050019</v>
      </c>
      <c r="C6" s="2345">
        <v>45410</v>
      </c>
      <c r="D6" s="2346" t="str">
        <f t="shared" ca="1" si="0"/>
        <v>王鹏（注册号：1120050019）</v>
      </c>
      <c r="E6" s="2347" t="s">
        <v>2147</v>
      </c>
      <c r="F6" s="1304">
        <f ca="1">IF(G6&lt;B2,"已过期",2002110030)</f>
        <v>2002110030</v>
      </c>
      <c r="G6" s="2348">
        <v>46387</v>
      </c>
      <c r="H6" s="2349" t="str">
        <f t="shared" ca="1" si="1"/>
        <v>王鹏（注册号：2002110030）</v>
      </c>
    </row>
    <row r="7" spans="1:8" ht="24" customHeight="1">
      <c r="A7" s="1304" t="s">
        <v>2148</v>
      </c>
      <c r="B7" s="1304">
        <f ca="1">IF(C7&lt;B2,"已过期",1120000080)</f>
        <v>1120000080</v>
      </c>
      <c r="C7" s="2345">
        <v>45937</v>
      </c>
      <c r="D7" s="2346" t="str">
        <f t="shared" ca="1" si="0"/>
        <v>欧红伟（注册号：1120000080）</v>
      </c>
      <c r="E7" s="2347" t="s">
        <v>2148</v>
      </c>
      <c r="F7" s="1304">
        <f ca="1">IF(G7&lt;B2,"已过期",2000110082)</f>
        <v>2000110082</v>
      </c>
      <c r="G7" s="2348">
        <v>46387</v>
      </c>
      <c r="H7" s="2349" t="str">
        <f t="shared" ca="1" si="1"/>
        <v>欧红伟（注册号：2000110082）</v>
      </c>
    </row>
    <row r="8" spans="1:8" ht="24" customHeight="1">
      <c r="A8" s="1304" t="s">
        <v>2149</v>
      </c>
      <c r="B8" s="1304">
        <f ca="1">IF(C8&lt;B2,"已过期",1419970001)</f>
        <v>1419970001</v>
      </c>
      <c r="C8" s="2345">
        <v>45937</v>
      </c>
      <c r="D8" s="2346" t="str">
        <f t="shared" ca="1" si="0"/>
        <v>吴薇（注册号：1419970001）</v>
      </c>
      <c r="E8" s="2347" t="s">
        <v>2149</v>
      </c>
      <c r="F8" s="1304">
        <f ca="1">IF(G8&lt;B2,"已过期",2002110125)</f>
        <v>2002110125</v>
      </c>
      <c r="G8" s="2348">
        <v>47118</v>
      </c>
      <c r="H8" s="2349" t="str">
        <f t="shared" ca="1" si="1"/>
        <v>吴薇（注册号：2002110125）</v>
      </c>
    </row>
    <row r="9" spans="1:8" ht="24" customHeight="1">
      <c r="A9" s="1304" t="s">
        <v>2150</v>
      </c>
      <c r="B9" s="1304">
        <f ca="1">IF(C9&lt;B2,"已过期",1120060040)</f>
        <v>1120060040</v>
      </c>
      <c r="C9" s="2350">
        <v>45592</v>
      </c>
      <c r="D9" s="2346" t="str">
        <f t="shared" ca="1" si="0"/>
        <v>陈颖（注册号：1120060040）</v>
      </c>
      <c r="E9" s="2347" t="s">
        <v>2150</v>
      </c>
      <c r="F9" s="1304">
        <f ca="1">IF(G9&lt;B2,"已过期",2004110096)</f>
        <v>2004110096</v>
      </c>
      <c r="G9" s="2348">
        <v>47118</v>
      </c>
      <c r="H9" s="2349" t="str">
        <f t="shared" ca="1" si="1"/>
        <v>陈颖（注册号：2004110096）</v>
      </c>
    </row>
    <row r="10" spans="1:8" ht="24" customHeight="1">
      <c r="A10" s="1304" t="s">
        <v>2151</v>
      </c>
      <c r="B10" s="1304">
        <f ca="1">IF(C10&lt;B2,"已过期",1120100036)</f>
        <v>1120100036</v>
      </c>
      <c r="C10" s="2350">
        <v>45752</v>
      </c>
      <c r="D10" s="2346" t="str">
        <f t="shared" ca="1" si="0"/>
        <v>崔锴（注册号：1120100036）</v>
      </c>
      <c r="E10" s="2347" t="s">
        <v>2151</v>
      </c>
      <c r="F10" s="1304">
        <f ca="1">IF(G10&lt;B2,"已过期",2010110070)</f>
        <v>2010110070</v>
      </c>
      <c r="G10" s="2348">
        <v>47907</v>
      </c>
      <c r="H10" s="2349" t="str">
        <f t="shared" ca="1" si="1"/>
        <v>崔锴（注册号：2010110070）</v>
      </c>
    </row>
    <row r="11" spans="1:8" ht="24" customHeight="1">
      <c r="A11" s="1304" t="s">
        <v>2152</v>
      </c>
      <c r="B11" s="1304">
        <f ca="1">IF(C11&lt;B2,"已过期",1120070131)</f>
        <v>1120070131</v>
      </c>
      <c r="C11" s="2345">
        <v>45937</v>
      </c>
      <c r="D11" s="2346" t="str">
        <f t="shared" ca="1" si="0"/>
        <v>郑燚（注册号：1120070131）</v>
      </c>
      <c r="E11" s="2347" t="s">
        <v>2152</v>
      </c>
      <c r="F11" s="1304">
        <f ca="1">IF(G11&lt;B2,"已过期",2014110011)</f>
        <v>2014110011</v>
      </c>
      <c r="G11" s="2348">
        <v>49302</v>
      </c>
      <c r="H11" s="2349" t="str">
        <f t="shared" ca="1" si="1"/>
        <v>郑燚（注册号：2014110011）</v>
      </c>
    </row>
    <row r="12" spans="1:8" ht="24" customHeight="1">
      <c r="A12" s="1304" t="s">
        <v>2153</v>
      </c>
      <c r="B12" s="1304">
        <f ca="1">IF(C12&lt;B2,"已过期",1120040230)</f>
        <v>1120040230</v>
      </c>
      <c r="C12" s="2350">
        <v>45937</v>
      </c>
      <c r="D12" s="2346" t="str">
        <f t="shared" ca="1" si="0"/>
        <v>苏海（注册号：1120040230）</v>
      </c>
      <c r="E12" s="2347" t="s">
        <v>2153</v>
      </c>
      <c r="F12" s="1304">
        <f ca="1">IF(G12&lt;B2,"已过期",98030020)</f>
        <v>98030020</v>
      </c>
      <c r="G12" s="2348">
        <v>47118</v>
      </c>
      <c r="H12" s="2349" t="str">
        <f t="shared" ca="1" si="1"/>
        <v>苏海（注册号：98030020）</v>
      </c>
    </row>
    <row r="13" spans="1:8" ht="24" customHeight="1">
      <c r="A13" s="1304" t="s">
        <v>2154</v>
      </c>
      <c r="B13" s="1304" t="str">
        <f ca="1">IF(C13&lt;B2,"已过期",1120020033)</f>
        <v>已过期</v>
      </c>
      <c r="C13" s="2345">
        <v>45375</v>
      </c>
      <c r="D13" s="2346" t="str">
        <f t="shared" ca="1" si="0"/>
        <v>刘敬东（注册号：已过期）</v>
      </c>
      <c r="E13" s="2347" t="s">
        <v>2154</v>
      </c>
      <c r="F13" s="1304">
        <f ca="1">IF(G13&lt;B2,"已过期",2000110137)</f>
        <v>2000110137</v>
      </c>
      <c r="G13" s="2348">
        <v>46387</v>
      </c>
      <c r="H13" s="2349" t="str">
        <f t="shared" ca="1" si="1"/>
        <v>刘敬东（注册号：2000110137）</v>
      </c>
    </row>
    <row r="14" spans="1:8" ht="24" customHeight="1">
      <c r="A14" s="1304" t="s">
        <v>2155</v>
      </c>
      <c r="B14" s="1304" t="str">
        <f ca="1">IF(C14&lt;B2,"已过期",1119980106)</f>
        <v>已过期</v>
      </c>
      <c r="C14" s="2350">
        <v>44969</v>
      </c>
      <c r="D14" s="2346" t="str">
        <f t="shared" ca="1" si="0"/>
        <v>刘俊财（注册号：已过期）</v>
      </c>
      <c r="E14" s="2347" t="s">
        <v>2155</v>
      </c>
      <c r="F14" s="1304">
        <f ca="1">IF(G14&lt;B2,"已过期",96010063)</f>
        <v>96010063</v>
      </c>
      <c r="G14" s="2348">
        <v>47483</v>
      </c>
      <c r="H14" s="2349" t="str">
        <f t="shared" ca="1" si="1"/>
        <v>刘俊财（注册号：96010063）</v>
      </c>
    </row>
    <row r="15" spans="1:8" ht="24" customHeight="1">
      <c r="A15" s="1304" t="s">
        <v>2438</v>
      </c>
      <c r="B15" s="1304">
        <v>1120210056</v>
      </c>
      <c r="C15" s="2350">
        <v>45410</v>
      </c>
      <c r="D15" s="2346" t="str">
        <f t="shared" si="0"/>
        <v>宁小鳗（注册号：1120210056）</v>
      </c>
      <c r="E15" s="2347" t="s">
        <v>2156</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623" t="s">
        <v>2157</v>
      </c>
      <c r="B17" s="3623"/>
      <c r="C17" s="3623"/>
      <c r="D17" s="3623"/>
      <c r="E17" s="3623"/>
      <c r="F17" s="3623"/>
      <c r="G17" s="3623"/>
      <c r="H17" s="3623"/>
    </row>
    <row r="18" spans="1:8" ht="24" customHeight="1">
      <c r="A18" s="3624" t="s">
        <v>2158</v>
      </c>
      <c r="B18" s="3624"/>
      <c r="C18" s="3624"/>
      <c r="D18" s="2343"/>
      <c r="E18" s="3625" t="s">
        <v>2159</v>
      </c>
      <c r="F18" s="3624"/>
      <c r="G18" s="3624"/>
    </row>
    <row r="19" spans="1:8" s="2354" customFormat="1" ht="24" customHeight="1">
      <c r="A19" s="2353" t="s">
        <v>2160</v>
      </c>
      <c r="B19" s="2342" t="s">
        <v>2161</v>
      </c>
      <c r="C19" s="2342" t="s">
        <v>2140</v>
      </c>
      <c r="D19" s="2343"/>
      <c r="E19" s="2347" t="s">
        <v>2160</v>
      </c>
      <c r="F19" s="2342" t="s">
        <v>2161</v>
      </c>
      <c r="G19" s="2342" t="s">
        <v>2140</v>
      </c>
    </row>
    <row r="20" spans="1:8" s="2354" customFormat="1" ht="24" customHeight="1">
      <c r="A20" s="2355" t="s">
        <v>2162</v>
      </c>
      <c r="B20" s="2355" t="s">
        <v>2163</v>
      </c>
      <c r="C20" s="2348">
        <v>45898</v>
      </c>
      <c r="D20" s="2356"/>
      <c r="E20" s="2357" t="s">
        <v>2164</v>
      </c>
      <c r="F20" s="2360" t="s">
        <v>2439</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7" priority="53">
      <formula>AND($C4-TODAY()&lt;30,TODAY()&lt;$C4)</formula>
    </cfRule>
  </conditionalFormatting>
  <conditionalFormatting sqref="C20:D20">
    <cfRule type="expression" dxfId="276" priority="52">
      <formula>AND($C20-TODAY()&lt;30,TODAY()&lt;$C20)</formula>
    </cfRule>
  </conditionalFormatting>
  <conditionalFormatting sqref="C20:D20 G4 C4:D5 C13:D13">
    <cfRule type="cellIs" dxfId="275" priority="54" stopIfTrue="1" operator="lessThan">
      <formula>$B$2</formula>
    </cfRule>
  </conditionalFormatting>
  <conditionalFormatting sqref="G5 G7 G9">
    <cfRule type="cellIs" dxfId="274" priority="51" stopIfTrue="1" operator="lessThan">
      <formula>$B$2</formula>
    </cfRule>
  </conditionalFormatting>
  <conditionalFormatting sqref="C6:D6 D14 D16">
    <cfRule type="expression" dxfId="273" priority="49">
      <formula>AND($C6-TODAY()&lt;30,TODAY()&lt;$C6)</formula>
    </cfRule>
  </conditionalFormatting>
  <conditionalFormatting sqref="G6 G8 G10 C6:D6 D7:D12 D14 D16">
    <cfRule type="cellIs" dxfId="272" priority="50" stopIfTrue="1" operator="lessThan">
      <formula>$B$2</formula>
    </cfRule>
  </conditionalFormatting>
  <conditionalFormatting sqref="D12">
    <cfRule type="expression" dxfId="271" priority="47">
      <formula>AND($C12-TODAY()&lt;30,TODAY()&lt;$C12)</formula>
    </cfRule>
  </conditionalFormatting>
  <conditionalFormatting sqref="D12">
    <cfRule type="cellIs" dxfId="270" priority="48" stopIfTrue="1" operator="lessThan">
      <formula>$B$2</formula>
    </cfRule>
  </conditionalFormatting>
  <conditionalFormatting sqref="C13:D13">
    <cfRule type="expression" dxfId="269" priority="45">
      <formula>AND($C13-TODAY()&lt;30,TODAY()&lt;$C13)</formula>
    </cfRule>
  </conditionalFormatting>
  <conditionalFormatting sqref="C13:D13">
    <cfRule type="cellIs" dxfId="268" priority="46" stopIfTrue="1" operator="lessThan">
      <formula>$B$2</formula>
    </cfRule>
  </conditionalFormatting>
  <conditionalFormatting sqref="D14">
    <cfRule type="expression" dxfId="267" priority="43">
      <formula>AND($C14-TODAY()&lt;30,TODAY()&lt;$C14)</formula>
    </cfRule>
  </conditionalFormatting>
  <conditionalFormatting sqref="D14">
    <cfRule type="cellIs" dxfId="266" priority="44" stopIfTrue="1" operator="lessThan">
      <formula>$B$2</formula>
    </cfRule>
  </conditionalFormatting>
  <conditionalFormatting sqref="G13">
    <cfRule type="cellIs" dxfId="265" priority="42" stopIfTrue="1" operator="lessThan">
      <formula>$B$2</formula>
    </cfRule>
  </conditionalFormatting>
  <conditionalFormatting sqref="B4:B11 F4:F11 B13 F13:F14">
    <cfRule type="cellIs" dxfId="264" priority="41" stopIfTrue="1" operator="equal">
      <formula>"已过期"</formula>
    </cfRule>
  </conditionalFormatting>
  <conditionalFormatting sqref="C7">
    <cfRule type="cellIs" dxfId="263" priority="38" stopIfTrue="1" operator="lessThan">
      <formula>$B$2</formula>
    </cfRule>
  </conditionalFormatting>
  <conditionalFormatting sqref="C7">
    <cfRule type="expression" dxfId="262" priority="37">
      <formula>AND($C7-TODAY()&lt;30,TODAY()&lt;$C7)</formula>
    </cfRule>
  </conditionalFormatting>
  <conditionalFormatting sqref="C8">
    <cfRule type="expression" dxfId="261" priority="35">
      <formula>AND($C8-TODAY()&lt;30,TODAY()&lt;$C8)</formula>
    </cfRule>
  </conditionalFormatting>
  <conditionalFormatting sqref="C8">
    <cfRule type="cellIs" dxfId="260" priority="36" stopIfTrue="1" operator="lessThan">
      <formula>$B$2</formula>
    </cfRule>
  </conditionalFormatting>
  <conditionalFormatting sqref="C11">
    <cfRule type="expression" dxfId="259" priority="33">
      <formula>AND($C11-TODAY()&lt;30,TODAY()&lt;$C11)</formula>
    </cfRule>
  </conditionalFormatting>
  <conditionalFormatting sqref="C11">
    <cfRule type="cellIs" dxfId="258" priority="34" stopIfTrue="1" operator="lessThan">
      <formula>$B$2</formula>
    </cfRule>
  </conditionalFormatting>
  <conditionalFormatting sqref="A16:C16">
    <cfRule type="cellIs" dxfId="257" priority="32" stopIfTrue="1" operator="equal">
      <formula>"已过期"</formula>
    </cfRule>
  </conditionalFormatting>
  <conditionalFormatting sqref="E16:G16">
    <cfRule type="cellIs" dxfId="256" priority="31" stopIfTrue="1" operator="equal">
      <formula>"已过期"</formula>
    </cfRule>
  </conditionalFormatting>
  <conditionalFormatting sqref="G11">
    <cfRule type="cellIs" dxfId="255" priority="30" stopIfTrue="1" operator="lessThan">
      <formula>$B$2</formula>
    </cfRule>
  </conditionalFormatting>
  <conditionalFormatting sqref="F12">
    <cfRule type="cellIs" dxfId="254" priority="29" stopIfTrue="1" operator="equal">
      <formula>"已过期"</formula>
    </cfRule>
  </conditionalFormatting>
  <conditionalFormatting sqref="G12">
    <cfRule type="cellIs" dxfId="253" priority="28" stopIfTrue="1" operator="lessThan">
      <formula>$B$2</formula>
    </cfRule>
  </conditionalFormatting>
  <conditionalFormatting sqref="C12">
    <cfRule type="cellIs" dxfId="252" priority="27" stopIfTrue="1" operator="lessThan">
      <formula>$B$2</formula>
    </cfRule>
  </conditionalFormatting>
  <conditionalFormatting sqref="C12">
    <cfRule type="expression" dxfId="251" priority="25">
      <formula>AND($C12-TODAY()&lt;30,TODAY()&lt;$C12)</formula>
    </cfRule>
  </conditionalFormatting>
  <conditionalFormatting sqref="C12">
    <cfRule type="cellIs" dxfId="250" priority="26" stopIfTrue="1" operator="lessThan">
      <formula>$B$2</formula>
    </cfRule>
  </conditionalFormatting>
  <conditionalFormatting sqref="B12">
    <cfRule type="cellIs" dxfId="249" priority="24" stopIfTrue="1" operator="equal">
      <formula>"已过期"</formula>
    </cfRule>
  </conditionalFormatting>
  <conditionalFormatting sqref="C9:C10">
    <cfRule type="expression" dxfId="248" priority="22">
      <formula>AND($C9-TODAY()&lt;30,TODAY()&lt;$C9)</formula>
    </cfRule>
  </conditionalFormatting>
  <conditionalFormatting sqref="C9:C10">
    <cfRule type="cellIs" dxfId="247" priority="23" stopIfTrue="1" operator="lessThan">
      <formula>$B$2</formula>
    </cfRule>
  </conditionalFormatting>
  <conditionalFormatting sqref="G21">
    <cfRule type="expression" dxfId="246" priority="20" stopIfTrue="1">
      <formula>AND(#REF!-TODAY()&lt;30,TODAY()&lt;#REF!)</formula>
    </cfRule>
  </conditionalFormatting>
  <conditionalFormatting sqref="G21">
    <cfRule type="cellIs" dxfId="245" priority="21" stopIfTrue="1" operator="lessThan">
      <formula>$B$2</formula>
    </cfRule>
  </conditionalFormatting>
  <conditionalFormatting sqref="C14">
    <cfRule type="expression" dxfId="244" priority="18">
      <formula>AND($C14-TODAY()&lt;30,TODAY()&lt;$C14)</formula>
    </cfRule>
  </conditionalFormatting>
  <conditionalFormatting sqref="C14">
    <cfRule type="cellIs" dxfId="243" priority="19" stopIfTrue="1" operator="lessThan">
      <formula>$B$2</formula>
    </cfRule>
  </conditionalFormatting>
  <conditionalFormatting sqref="C14">
    <cfRule type="expression" dxfId="242" priority="16">
      <formula>AND($C14-TODAY()&lt;30,TODAY()&lt;$C14)</formula>
    </cfRule>
  </conditionalFormatting>
  <conditionalFormatting sqref="C14">
    <cfRule type="cellIs" dxfId="241" priority="17" stopIfTrue="1" operator="lessThan">
      <formula>$B$2</formula>
    </cfRule>
  </conditionalFormatting>
  <conditionalFormatting sqref="B14">
    <cfRule type="cellIs" dxfId="240" priority="15" stopIfTrue="1" operator="equal">
      <formula>"已过期"</formula>
    </cfRule>
  </conditionalFormatting>
  <conditionalFormatting sqref="G14">
    <cfRule type="cellIs" dxfId="239" priority="14" stopIfTrue="1" operator="lessThan">
      <formula>$B$2</formula>
    </cfRule>
  </conditionalFormatting>
  <conditionalFormatting sqref="D15">
    <cfRule type="expression" dxfId="238" priority="12">
      <formula>AND($C15-TODAY()&lt;30,TODAY()&lt;$C15)</formula>
    </cfRule>
  </conditionalFormatting>
  <conditionalFormatting sqref="D15">
    <cfRule type="cellIs" dxfId="237" priority="13" stopIfTrue="1" operator="lessThan">
      <formula>$B$2</formula>
    </cfRule>
  </conditionalFormatting>
  <conditionalFormatting sqref="D15">
    <cfRule type="expression" dxfId="236" priority="10">
      <formula>AND($C15-TODAY()&lt;30,TODAY()&lt;$C15)</formula>
    </cfRule>
  </conditionalFormatting>
  <conditionalFormatting sqref="D15">
    <cfRule type="cellIs" dxfId="235" priority="11" stopIfTrue="1" operator="lessThan">
      <formula>$B$2</formula>
    </cfRule>
  </conditionalFormatting>
  <conditionalFormatting sqref="F15">
    <cfRule type="cellIs" dxfId="234" priority="9" stopIfTrue="1" operator="equal">
      <formula>"已过期"</formula>
    </cfRule>
  </conditionalFormatting>
  <conditionalFormatting sqref="C15">
    <cfRule type="expression" dxfId="233" priority="7">
      <formula>AND($C15-TODAY()&lt;30,TODAY()&lt;$C15)</formula>
    </cfRule>
  </conditionalFormatting>
  <conditionalFormatting sqref="C15">
    <cfRule type="cellIs" dxfId="232" priority="8" stopIfTrue="1" operator="lessThan">
      <formula>$B$2</formula>
    </cfRule>
  </conditionalFormatting>
  <conditionalFormatting sqref="C15">
    <cfRule type="expression" dxfId="231" priority="5">
      <formula>AND($C15-TODAY()&lt;30,TODAY()&lt;$C15)</formula>
    </cfRule>
  </conditionalFormatting>
  <conditionalFormatting sqref="C15">
    <cfRule type="cellIs" dxfId="230" priority="6" stopIfTrue="1" operator="lessThan">
      <formula>$B$2</formula>
    </cfRule>
  </conditionalFormatting>
  <conditionalFormatting sqref="B15">
    <cfRule type="cellIs" dxfId="229" priority="4" stopIfTrue="1" operator="equal">
      <formula>"已过期"</formula>
    </cfRule>
  </conditionalFormatting>
  <conditionalFormatting sqref="G15">
    <cfRule type="cellIs" dxfId="228" priority="3" stopIfTrue="1" operator="lessThan">
      <formula>$B$2</formula>
    </cfRule>
  </conditionalFormatting>
  <conditionalFormatting sqref="G20">
    <cfRule type="expression" dxfId="227" priority="1" stopIfTrue="1">
      <formula>AND(#REF!-TODAY()&lt;30,TODAY()&lt;#REF!)</formula>
    </cfRule>
  </conditionalFormatting>
  <conditionalFormatting sqref="G20">
    <cfRule type="cellIs" dxfId="226"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1" sqref="C21"/>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975</v>
      </c>
      <c r="C1" s="1541" t="s">
        <v>314</v>
      </c>
      <c r="D1" s="1543" t="s">
        <v>3352</v>
      </c>
      <c r="E1" s="1542" t="s">
        <v>976</v>
      </c>
      <c r="F1" s="1542" t="s">
        <v>977</v>
      </c>
      <c r="G1" s="1542" t="s">
        <v>978</v>
      </c>
      <c r="H1" s="1542" t="s">
        <v>979</v>
      </c>
      <c r="I1" s="1542" t="s">
        <v>980</v>
      </c>
      <c r="J1" s="1542" t="s">
        <v>981</v>
      </c>
      <c r="K1" s="1542" t="s">
        <v>982</v>
      </c>
      <c r="L1" s="1542" t="s">
        <v>983</v>
      </c>
      <c r="M1" s="1542" t="s">
        <v>984</v>
      </c>
      <c r="N1" s="1542" t="s">
        <v>985</v>
      </c>
      <c r="O1" s="1542" t="s">
        <v>986</v>
      </c>
      <c r="P1" s="1543" t="s">
        <v>309</v>
      </c>
      <c r="Q1" s="1543" t="s">
        <v>447</v>
      </c>
      <c r="R1" s="1542" t="s">
        <v>441</v>
      </c>
      <c r="S1" s="1542" t="s">
        <v>987</v>
      </c>
      <c r="T1" s="1544" t="s">
        <v>988</v>
      </c>
      <c r="U1" s="1542" t="s">
        <v>989</v>
      </c>
      <c r="V1" s="1542" t="s">
        <v>990</v>
      </c>
      <c r="W1" s="1542" t="s">
        <v>311</v>
      </c>
    </row>
    <row r="2" spans="1:23">
      <c r="A2" s="1546" t="s">
        <v>19</v>
      </c>
      <c r="B2" s="1546" t="s">
        <v>991</v>
      </c>
      <c r="C2" s="1547" t="s">
        <v>315</v>
      </c>
      <c r="D2" s="1548" t="s">
        <v>992</v>
      </c>
      <c r="E2" s="1548" t="s">
        <v>993</v>
      </c>
      <c r="F2" s="1548" t="s">
        <v>994</v>
      </c>
      <c r="G2" s="1548">
        <v>20</v>
      </c>
      <c r="H2" s="1548" t="s">
        <v>994</v>
      </c>
      <c r="I2" s="1548" t="s">
        <v>3338</v>
      </c>
      <c r="J2" s="1548" t="s">
        <v>995</v>
      </c>
      <c r="K2" s="1548" t="s">
        <v>996</v>
      </c>
      <c r="L2" s="1548" t="s">
        <v>996</v>
      </c>
      <c r="M2" s="1548" t="s">
        <v>996</v>
      </c>
      <c r="N2" s="1548" t="s">
        <v>996</v>
      </c>
      <c r="O2" s="1548" t="s">
        <v>996</v>
      </c>
      <c r="P2" s="1548" t="s">
        <v>996</v>
      </c>
      <c r="Q2" s="1548" t="s">
        <v>996</v>
      </c>
      <c r="R2" s="1548" t="s">
        <v>443</v>
      </c>
      <c r="S2" s="1548" t="s">
        <v>996</v>
      </c>
      <c r="T2" s="1548" t="s">
        <v>997</v>
      </c>
      <c r="U2" s="1548" t="s">
        <v>996</v>
      </c>
      <c r="V2" s="1548" t="s">
        <v>998</v>
      </c>
      <c r="W2" s="1548" t="s">
        <v>996</v>
      </c>
    </row>
    <row r="3" spans="1:23">
      <c r="A3" s="1546" t="s">
        <v>999</v>
      </c>
      <c r="B3" s="1549" t="s">
        <v>448</v>
      </c>
      <c r="C3" s="1550" t="s">
        <v>316</v>
      </c>
      <c r="D3" s="1548" t="s">
        <v>1000</v>
      </c>
      <c r="E3" s="1548" t="s">
        <v>13</v>
      </c>
      <c r="F3" s="1548" t="s">
        <v>1001</v>
      </c>
      <c r="G3" s="1548">
        <v>40</v>
      </c>
      <c r="H3" s="1548" t="s">
        <v>1001</v>
      </c>
      <c r="I3" s="1548" t="s">
        <v>3339</v>
      </c>
      <c r="J3" s="1548" t="s">
        <v>1002</v>
      </c>
      <c r="K3" s="1548" t="s">
        <v>1003</v>
      </c>
      <c r="L3" s="1548" t="s">
        <v>1003</v>
      </c>
      <c r="M3" s="1548" t="s">
        <v>1003</v>
      </c>
      <c r="N3" s="1548" t="s">
        <v>1003</v>
      </c>
      <c r="O3" s="1548" t="s">
        <v>1003</v>
      </c>
      <c r="P3" s="1548" t="s">
        <v>1003</v>
      </c>
      <c r="Q3" s="1548" t="s">
        <v>1003</v>
      </c>
      <c r="R3" s="1548" t="s">
        <v>442</v>
      </c>
      <c r="S3" s="1548" t="s">
        <v>1003</v>
      </c>
      <c r="T3" s="1548" t="s">
        <v>1004</v>
      </c>
      <c r="U3" s="1548" t="s">
        <v>1003</v>
      </c>
      <c r="V3" s="1548" t="s">
        <v>1005</v>
      </c>
      <c r="W3" s="1548" t="s">
        <v>1003</v>
      </c>
    </row>
    <row r="4" spans="1:23">
      <c r="A4" s="1546" t="s">
        <v>1006</v>
      </c>
      <c r="B4" s="1546" t="s">
        <v>1007</v>
      </c>
      <c r="C4" s="1547" t="s">
        <v>317</v>
      </c>
      <c r="D4" s="1548" t="s">
        <v>389</v>
      </c>
      <c r="E4" s="1548" t="s">
        <v>1008</v>
      </c>
      <c r="F4" s="1548" t="s">
        <v>1009</v>
      </c>
      <c r="G4" s="1548">
        <v>50</v>
      </c>
      <c r="H4" s="1548" t="s">
        <v>1009</v>
      </c>
      <c r="I4" s="1548" t="s">
        <v>3340</v>
      </c>
      <c r="K4" s="1548" t="s">
        <v>1010</v>
      </c>
      <c r="L4" s="1548" t="s">
        <v>1010</v>
      </c>
      <c r="M4" s="1548" t="s">
        <v>1010</v>
      </c>
      <c r="N4" s="1548" t="s">
        <v>1010</v>
      </c>
      <c r="O4" s="1548" t="s">
        <v>1010</v>
      </c>
      <c r="P4" s="1548" t="s">
        <v>1010</v>
      </c>
      <c r="Q4" s="1548" t="s">
        <v>1010</v>
      </c>
      <c r="R4" s="1548" t="s">
        <v>444</v>
      </c>
      <c r="S4" s="1548" t="s">
        <v>1010</v>
      </c>
      <c r="T4" s="1548" t="s">
        <v>1011</v>
      </c>
      <c r="U4" s="1548" t="s">
        <v>1010</v>
      </c>
      <c r="W4" s="1548" t="s">
        <v>1010</v>
      </c>
    </row>
    <row r="5" spans="1:23">
      <c r="A5" s="1546" t="s">
        <v>1012</v>
      </c>
      <c r="B5" s="1546" t="s">
        <v>1013</v>
      </c>
      <c r="C5" s="1547" t="s">
        <v>318</v>
      </c>
      <c r="F5" s="1548" t="s">
        <v>1014</v>
      </c>
      <c r="G5" s="1548">
        <v>70</v>
      </c>
      <c r="H5" s="1548" t="s">
        <v>1015</v>
      </c>
      <c r="I5" s="1548" t="s">
        <v>3341</v>
      </c>
      <c r="K5" s="1548" t="s">
        <v>1016</v>
      </c>
      <c r="L5" s="1548" t="s">
        <v>1016</v>
      </c>
      <c r="M5" s="1548" t="s">
        <v>1016</v>
      </c>
      <c r="N5" s="1548" t="s">
        <v>1016</v>
      </c>
      <c r="O5" s="1548" t="s">
        <v>1016</v>
      </c>
      <c r="P5" s="1548" t="s">
        <v>1016</v>
      </c>
      <c r="Q5" s="1548" t="s">
        <v>1016</v>
      </c>
      <c r="R5" s="1548" t="s">
        <v>445</v>
      </c>
      <c r="S5" s="1548" t="s">
        <v>1016</v>
      </c>
      <c r="T5" s="1548" t="s">
        <v>1017</v>
      </c>
      <c r="U5" s="1548" t="s">
        <v>1016</v>
      </c>
      <c r="W5" s="1548" t="s">
        <v>1016</v>
      </c>
    </row>
    <row r="6" spans="1:23">
      <c r="A6" s="1546" t="s">
        <v>1018</v>
      </c>
      <c r="B6" s="1549" t="s">
        <v>449</v>
      </c>
      <c r="C6" s="1552" t="s">
        <v>24</v>
      </c>
      <c r="F6" s="1548" t="s">
        <v>1015</v>
      </c>
      <c r="H6" s="1548" t="s">
        <v>1019</v>
      </c>
      <c r="I6" s="1548" t="s">
        <v>3342</v>
      </c>
      <c r="K6" s="1548" t="s">
        <v>1020</v>
      </c>
      <c r="L6" s="1548" t="s">
        <v>1020</v>
      </c>
      <c r="M6" s="1548" t="s">
        <v>1020</v>
      </c>
      <c r="N6" s="1548" t="s">
        <v>1020</v>
      </c>
      <c r="O6" s="1548" t="s">
        <v>1020</v>
      </c>
      <c r="P6" s="1548" t="s">
        <v>1020</v>
      </c>
      <c r="Q6" s="1548" t="s">
        <v>1020</v>
      </c>
      <c r="R6" s="1548" t="s">
        <v>446</v>
      </c>
      <c r="S6" s="1548" t="s">
        <v>1020</v>
      </c>
      <c r="T6" s="1548"/>
      <c r="U6" s="1548" t="s">
        <v>1020</v>
      </c>
      <c r="W6" s="1548" t="s">
        <v>1020</v>
      </c>
    </row>
    <row r="7" spans="1:23">
      <c r="A7" s="1546" t="s">
        <v>1021</v>
      </c>
      <c r="B7" s="1549" t="s">
        <v>450</v>
      </c>
      <c r="C7" s="1547" t="s">
        <v>25</v>
      </c>
      <c r="F7" s="1548" t="s">
        <v>1022</v>
      </c>
      <c r="H7" s="1548" t="s">
        <v>1023</v>
      </c>
      <c r="I7" s="1548" t="s">
        <v>3343</v>
      </c>
    </row>
    <row r="8" spans="1:23">
      <c r="A8" s="1546" t="s">
        <v>1024</v>
      </c>
      <c r="B8" s="1546" t="s">
        <v>1025</v>
      </c>
      <c r="C8" s="1547" t="s">
        <v>319</v>
      </c>
      <c r="F8" s="1548" t="s">
        <v>1026</v>
      </c>
      <c r="H8" s="1548" t="s">
        <v>2578</v>
      </c>
      <c r="I8" s="1548" t="s">
        <v>3344</v>
      </c>
    </row>
    <row r="9" spans="1:23">
      <c r="A9" s="1546" t="s">
        <v>1027</v>
      </c>
      <c r="B9" s="1546" t="s">
        <v>1028</v>
      </c>
      <c r="C9" s="1547" t="s">
        <v>320</v>
      </c>
      <c r="F9" s="1548" t="s">
        <v>1029</v>
      </c>
      <c r="H9" s="1548"/>
      <c r="I9" s="1551" t="s">
        <v>3345</v>
      </c>
    </row>
    <row r="10" spans="1:23">
      <c r="A10" s="1546" t="s">
        <v>1030</v>
      </c>
      <c r="B10" s="1546" t="s">
        <v>1031</v>
      </c>
      <c r="C10" s="1547" t="s">
        <v>321</v>
      </c>
      <c r="F10" s="1548" t="s">
        <v>2579</v>
      </c>
      <c r="I10" s="1551" t="s">
        <v>3346</v>
      </c>
    </row>
    <row r="11" spans="1:23">
      <c r="A11" s="1546" t="s">
        <v>1032</v>
      </c>
      <c r="B11" s="1546" t="s">
        <v>1033</v>
      </c>
      <c r="C11" s="1547" t="s">
        <v>322</v>
      </c>
      <c r="F11" s="1548" t="s">
        <v>13</v>
      </c>
      <c r="I11" s="1551" t="s">
        <v>3347</v>
      </c>
    </row>
    <row r="12" spans="1:23">
      <c r="A12" s="1546" t="s">
        <v>1034</v>
      </c>
      <c r="B12" s="1546" t="s">
        <v>1035</v>
      </c>
      <c r="C12" s="1547" t="s">
        <v>323</v>
      </c>
      <c r="I12" s="1551" t="s">
        <v>3348</v>
      </c>
    </row>
    <row r="13" spans="1:23">
      <c r="A13" s="1546" t="s">
        <v>1036</v>
      </c>
      <c r="B13" s="1546" t="s">
        <v>1037</v>
      </c>
      <c r="C13" s="1547" t="s">
        <v>324</v>
      </c>
      <c r="I13" s="1551" t="s">
        <v>3349</v>
      </c>
    </row>
    <row r="14" spans="1:23">
      <c r="A14" s="1546" t="s">
        <v>1038</v>
      </c>
      <c r="B14" s="1546" t="s">
        <v>1039</v>
      </c>
      <c r="C14" s="1548" t="s">
        <v>13</v>
      </c>
      <c r="I14" s="1551" t="s">
        <v>3350</v>
      </c>
    </row>
    <row r="15" spans="1:23">
      <c r="A15" s="1546" t="s">
        <v>1040</v>
      </c>
      <c r="B15" s="1546" t="s">
        <v>1041</v>
      </c>
      <c r="C15" s="1547"/>
      <c r="I15" s="1551" t="s">
        <v>3351</v>
      </c>
    </row>
    <row r="16" spans="1:23">
      <c r="A16" s="1546" t="s">
        <v>1042</v>
      </c>
      <c r="B16" s="1546" t="s">
        <v>312</v>
      </c>
      <c r="C16" s="1547"/>
    </row>
    <row r="17" spans="1:3">
      <c r="A17" s="1546" t="s">
        <v>1043</v>
      </c>
      <c r="B17" s="1546" t="s">
        <v>2290</v>
      </c>
      <c r="C17" s="1547"/>
    </row>
    <row r="18" spans="1:3">
      <c r="A18" s="1546" t="s">
        <v>1044</v>
      </c>
      <c r="B18" s="1546" t="s">
        <v>2434</v>
      </c>
      <c r="C18" s="1547"/>
    </row>
    <row r="19" spans="1:3">
      <c r="A19" s="1546" t="s">
        <v>1045</v>
      </c>
      <c r="B19" s="1546" t="s">
        <v>3557</v>
      </c>
      <c r="C19" s="1547"/>
    </row>
    <row r="20" spans="1:3">
      <c r="A20" s="1546" t="s">
        <v>1046</v>
      </c>
      <c r="B20" s="1546" t="s">
        <v>3656</v>
      </c>
      <c r="C20" s="1547"/>
    </row>
    <row r="21" spans="1:3">
      <c r="A21" s="1546" t="s">
        <v>1047</v>
      </c>
      <c r="B21" s="1546" t="s">
        <v>3658</v>
      </c>
      <c r="C21" s="1547"/>
    </row>
    <row r="22" spans="1:3">
      <c r="A22" s="1546" t="s">
        <v>1048</v>
      </c>
      <c r="B22" s="1546" t="s">
        <v>313</v>
      </c>
      <c r="C22" s="1547"/>
    </row>
    <row r="23" spans="1:3">
      <c r="A23" s="1546" t="s">
        <v>1049</v>
      </c>
      <c r="B23" s="1546" t="s">
        <v>313</v>
      </c>
      <c r="C23" s="1547"/>
    </row>
    <row r="24" spans="1:3">
      <c r="A24" s="1546" t="s">
        <v>1050</v>
      </c>
      <c r="B24" s="1546" t="s">
        <v>313</v>
      </c>
      <c r="C24" s="1547"/>
    </row>
    <row r="25" spans="1:3">
      <c r="A25" s="1546" t="s">
        <v>1051</v>
      </c>
      <c r="B25" s="1546" t="s">
        <v>313</v>
      </c>
      <c r="C25" s="1547"/>
    </row>
    <row r="26" spans="1:3">
      <c r="A26" s="1546" t="s">
        <v>1052</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26"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626"/>
      <c r="B54" s="1554" t="s">
        <v>385</v>
      </c>
      <c r="C54" s="1551" t="s">
        <v>583</v>
      </c>
    </row>
    <row r="55" spans="1:4">
      <c r="A55" s="3626"/>
      <c r="B55" s="1554" t="s">
        <v>386</v>
      </c>
      <c r="C55" s="1551" t="s">
        <v>584</v>
      </c>
    </row>
    <row r="56" spans="1:4">
      <c r="A56" s="3626"/>
      <c r="B56" s="1554" t="s">
        <v>387</v>
      </c>
      <c r="C56" s="1551" t="s">
        <v>588</v>
      </c>
    </row>
    <row r="57" spans="1:4">
      <c r="A57" s="3626"/>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2501</v>
      </c>
      <c r="B1" s="3014"/>
      <c r="C1" s="3014"/>
      <c r="D1" s="3014"/>
      <c r="E1" s="3014"/>
      <c r="F1" s="3015"/>
      <c r="I1" s="3437" t="s">
        <v>2594</v>
      </c>
      <c r="J1" s="3226"/>
      <c r="K1" s="3226"/>
      <c r="L1" s="3226"/>
      <c r="M1" s="3226"/>
      <c r="N1" s="3438"/>
      <c r="O1" s="3438"/>
      <c r="P1" s="3438"/>
      <c r="Q1" s="3438"/>
      <c r="R1" s="3438"/>
    </row>
    <row r="2" spans="1:18">
      <c r="A2" s="3017"/>
      <c r="B2" s="3018"/>
      <c r="C2" s="3018"/>
      <c r="D2" s="3018"/>
      <c r="E2" s="3018"/>
      <c r="F2" s="3019"/>
      <c r="I2" s="3627" t="s">
        <v>2581</v>
      </c>
      <c r="J2" s="3627"/>
      <c r="K2" s="3627"/>
      <c r="L2" s="3627"/>
      <c r="M2" s="3627"/>
      <c r="N2" s="3627"/>
      <c r="O2" s="3627"/>
      <c r="P2" s="3627"/>
      <c r="Q2" s="3627"/>
      <c r="R2" s="3627"/>
    </row>
    <row r="3" spans="1:18">
      <c r="A3" s="3020" t="s">
        <v>2502</v>
      </c>
      <c r="B3" s="3021">
        <f>项目基本情况!D3</f>
        <v>45400</v>
      </c>
      <c r="C3" s="3023"/>
      <c r="D3" s="3023"/>
      <c r="E3" s="3023"/>
      <c r="F3" s="3019"/>
      <c r="I3" s="3439"/>
      <c r="J3" s="3439" t="s">
        <v>2585</v>
      </c>
      <c r="K3" s="3439" t="s">
        <v>2586</v>
      </c>
      <c r="L3" s="3439" t="s">
        <v>2587</v>
      </c>
      <c r="M3" s="3439" t="s">
        <v>2588</v>
      </c>
      <c r="N3" s="3440" t="s">
        <v>2589</v>
      </c>
      <c r="O3" s="3440" t="s">
        <v>2590</v>
      </c>
      <c r="P3" s="3440" t="s">
        <v>2591</v>
      </c>
      <c r="Q3" s="3440" t="s">
        <v>2592</v>
      </c>
      <c r="R3" s="3440" t="s">
        <v>2593</v>
      </c>
    </row>
    <row r="4" spans="1:18">
      <c r="A4" s="3020" t="s">
        <v>2503</v>
      </c>
      <c r="B4" s="3023" t="s">
        <v>2504</v>
      </c>
      <c r="C4" s="3023" t="s">
        <v>2505</v>
      </c>
      <c r="D4" s="3023" t="s">
        <v>2506</v>
      </c>
      <c r="E4" s="3023" t="s">
        <v>2507</v>
      </c>
      <c r="F4" s="3019"/>
      <c r="I4" s="3439" t="s">
        <v>2582</v>
      </c>
      <c r="J4" s="3439">
        <v>80</v>
      </c>
      <c r="K4" s="3439">
        <v>70</v>
      </c>
      <c r="L4" s="3439">
        <v>20</v>
      </c>
      <c r="M4" s="3439">
        <v>30</v>
      </c>
      <c r="N4" s="3023">
        <v>45</v>
      </c>
      <c r="O4" s="3023">
        <v>60</v>
      </c>
      <c r="P4" s="3023">
        <v>50</v>
      </c>
      <c r="Q4" s="3023">
        <v>20</v>
      </c>
      <c r="R4" s="3023">
        <v>375</v>
      </c>
    </row>
    <row r="5" spans="1:18">
      <c r="A5" s="3024">
        <v>40</v>
      </c>
      <c r="B5" s="3021">
        <v>46375</v>
      </c>
      <c r="C5" s="3023">
        <f>ROUNDDOWN(MIN((B5-B3)/365,A5),2)</f>
        <v>2.67</v>
      </c>
      <c r="D5" s="3025">
        <f>IF(ISERROR(ROUND(POWER(1+E5,A5-C5)*(POWER(1+E5,C5)-1)/(POWER(1+E5,A5)-1),3)),0,ROUND(POWER(1+E5,A5-C5)*(POWER(1+E5,C5)-1)/(POWER(1+E5,A5)-1),4))</f>
        <v>0.12559999999999999</v>
      </c>
      <c r="E5" s="3026">
        <v>0.04</v>
      </c>
      <c r="F5" s="3019"/>
      <c r="I5" s="3439" t="s">
        <v>2583</v>
      </c>
      <c r="J5" s="3439">
        <v>70</v>
      </c>
      <c r="K5" s="3439">
        <v>60</v>
      </c>
      <c r="L5" s="3439">
        <v>15</v>
      </c>
      <c r="M5" s="3439">
        <v>25</v>
      </c>
      <c r="N5" s="3023">
        <v>40</v>
      </c>
      <c r="O5" s="3023">
        <v>50</v>
      </c>
      <c r="P5" s="3023">
        <v>40</v>
      </c>
      <c r="Q5" s="3023">
        <v>15</v>
      </c>
      <c r="R5" s="3023">
        <v>315</v>
      </c>
    </row>
    <row r="6" spans="1:18">
      <c r="A6" s="3024">
        <v>50</v>
      </c>
      <c r="B6" s="3021">
        <v>50028</v>
      </c>
      <c r="C6" s="3023">
        <f>ROUNDDOWN(MIN((B6-B3)/365,A6),2)</f>
        <v>12.67</v>
      </c>
      <c r="D6" s="3025">
        <f>IF(ISERROR(ROUND(POWER(1+E6,A6-C6)*(POWER(1+E6,C6)-1)/(POWER(1+E6,A6)-1),3)),0,ROUND(POWER(1+E6,A6-C6)*(POWER(1+E6,C6)-1)/(POWER(1+E6,A6)-1),4))</f>
        <v>0.45569999999999999</v>
      </c>
      <c r="E6" s="3026">
        <v>0.04</v>
      </c>
      <c r="F6" s="3019"/>
      <c r="I6" s="3439" t="s">
        <v>2584</v>
      </c>
      <c r="J6" s="3439">
        <v>60</v>
      </c>
      <c r="K6" s="3439">
        <v>50</v>
      </c>
      <c r="L6" s="3439">
        <v>10</v>
      </c>
      <c r="M6" s="3439">
        <v>20</v>
      </c>
      <c r="N6" s="3023">
        <v>35</v>
      </c>
      <c r="O6" s="3023">
        <v>40</v>
      </c>
      <c r="P6" s="3023">
        <v>30</v>
      </c>
      <c r="Q6" s="3023">
        <v>10</v>
      </c>
      <c r="R6" s="3023">
        <v>255</v>
      </c>
    </row>
    <row r="7" spans="1:18">
      <c r="A7" s="3024">
        <v>70</v>
      </c>
      <c r="B7" s="3021">
        <v>57333</v>
      </c>
      <c r="C7" s="3023">
        <f>ROUNDDOWN(MIN((B7-B3)/365,A7),2)</f>
        <v>32.69</v>
      </c>
      <c r="D7" s="3025">
        <f>IF(ISERROR(ROUND(POWER(1+E7,A7-C7)*(POWER(1+E7,C7)-1)/(POWER(1+E7,A7)-1),3)),0,ROUND(POWER(1+E7,A7-C7)*(POWER(1+E7,C7)-1)/(POWER(1+E7,A7)-1),4))</f>
        <v>0.77210000000000001</v>
      </c>
      <c r="E7" s="3026">
        <v>0.04</v>
      </c>
      <c r="F7" s="3019"/>
    </row>
    <row r="8" spans="1:18">
      <c r="A8" s="3017"/>
      <c r="B8" s="3018"/>
      <c r="C8" s="3018"/>
      <c r="D8" s="3018"/>
      <c r="E8" s="3018"/>
      <c r="F8" s="3019"/>
    </row>
    <row r="9" spans="1:18">
      <c r="A9" s="3020" t="s">
        <v>2508</v>
      </c>
      <c r="B9" s="3023"/>
      <c r="C9" s="3023"/>
      <c r="D9" s="3023"/>
      <c r="E9" s="3023"/>
      <c r="F9" s="3027"/>
    </row>
    <row r="10" spans="1:18">
      <c r="A10" s="3020" t="s">
        <v>2509</v>
      </c>
      <c r="B10" s="3023"/>
      <c r="C10" s="3023"/>
      <c r="D10" s="3023" t="s">
        <v>2507</v>
      </c>
      <c r="E10" s="3023"/>
      <c r="F10" s="3027" t="s">
        <v>2506</v>
      </c>
    </row>
    <row r="11" spans="1:18">
      <c r="A11" s="3020" t="s">
        <v>2510</v>
      </c>
      <c r="B11" s="3028">
        <v>70</v>
      </c>
      <c r="C11" s="3023" t="s">
        <v>2511</v>
      </c>
      <c r="D11" s="3029">
        <v>4.4999999999999998E-2</v>
      </c>
      <c r="E11" s="3023" t="s">
        <v>2512</v>
      </c>
      <c r="F11" s="3030">
        <f>ROUND(1-(1/(POWER(1+D11,B11))),4)</f>
        <v>0.95409999999999995</v>
      </c>
    </row>
    <row r="12" spans="1:18">
      <c r="A12" s="3020" t="s">
        <v>2513</v>
      </c>
      <c r="B12" s="3028">
        <v>40</v>
      </c>
      <c r="C12" s="3023" t="s">
        <v>2514</v>
      </c>
      <c r="D12" s="3029">
        <v>4.4999999999999998E-2</v>
      </c>
      <c r="E12" s="3023" t="s">
        <v>2515</v>
      </c>
      <c r="F12" s="3030">
        <f>ROUND(1-(1/(POWER(1+D12,B12))),4)</f>
        <v>0.82809999999999995</v>
      </c>
    </row>
    <row r="13" spans="1:18">
      <c r="A13" s="3020" t="s">
        <v>2516</v>
      </c>
      <c r="B13" s="3023"/>
      <c r="C13" s="3023"/>
      <c r="D13" s="3018"/>
      <c r="E13" s="3018"/>
      <c r="F13" s="3019"/>
    </row>
    <row r="14" spans="1:18">
      <c r="A14" s="3020" t="s">
        <v>2517</v>
      </c>
      <c r="B14" s="3028">
        <v>5000</v>
      </c>
      <c r="C14" s="3022"/>
      <c r="D14" s="3018"/>
      <c r="E14" s="3018"/>
      <c r="F14" s="3019"/>
    </row>
    <row r="15" spans="1:18">
      <c r="A15" s="3020" t="s">
        <v>2518</v>
      </c>
      <c r="B15" s="3023">
        <f>ROUND(B14*F12/F11,2)</f>
        <v>4339.6899999999996</v>
      </c>
      <c r="C15" s="3023">
        <f>ROUND(F12/F11,4)</f>
        <v>0.8679</v>
      </c>
      <c r="D15" s="3018"/>
      <c r="E15" s="3018"/>
      <c r="F15" s="3019"/>
    </row>
    <row r="16" spans="1:18">
      <c r="A16" s="3020" t="s">
        <v>2519</v>
      </c>
      <c r="B16" s="3023"/>
      <c r="C16" s="3023"/>
      <c r="D16" s="3018"/>
      <c r="E16" s="3018"/>
      <c r="F16" s="3019"/>
    </row>
    <row r="17" spans="1:13">
      <c r="A17" s="3020" t="s">
        <v>2518</v>
      </c>
      <c r="B17" s="3029">
        <v>4810</v>
      </c>
      <c r="C17" s="3022"/>
      <c r="D17" s="3018"/>
      <c r="E17" s="3018"/>
      <c r="F17" s="3019"/>
    </row>
    <row r="18" spans="1:13" ht="14.25" thickBot="1">
      <c r="A18" s="3031" t="s">
        <v>2517</v>
      </c>
      <c r="B18" s="3032">
        <f>ROUND(B17*F11/F12,2)</f>
        <v>5541.87</v>
      </c>
      <c r="C18" s="3032">
        <f>ROUND(F11/F12,4)</f>
        <v>1.1521999999999999</v>
      </c>
      <c r="D18" s="3033"/>
      <c r="E18" s="3033"/>
      <c r="F18" s="3034"/>
    </row>
    <row r="19" spans="1:13" ht="14.25" thickBot="1"/>
    <row r="20" spans="1:13" s="3069" customFormat="1" ht="14.25" thickTop="1">
      <c r="A20" s="3066" t="s">
        <v>2520</v>
      </c>
      <c r="B20" s="3067"/>
      <c r="C20" s="3067"/>
      <c r="D20" s="3067"/>
      <c r="E20" s="3067"/>
      <c r="F20" s="3067"/>
      <c r="G20" s="3068"/>
      <c r="I20" s="3070" t="s">
        <v>2565</v>
      </c>
      <c r="J20" s="3070" t="s">
        <v>2570</v>
      </c>
      <c r="K20" s="3070"/>
      <c r="L20" s="3070"/>
      <c r="M20" s="3070"/>
    </row>
    <row r="21" spans="1:13">
      <c r="A21" s="3035"/>
      <c r="B21" s="3036" t="s">
        <v>2521</v>
      </c>
      <c r="C21" s="3036" t="s">
        <v>2522</v>
      </c>
      <c r="D21" s="3036" t="s">
        <v>2523</v>
      </c>
      <c r="E21" s="3036" t="s">
        <v>2524</v>
      </c>
      <c r="F21" s="3036" t="s">
        <v>2525</v>
      </c>
      <c r="G21" s="3037" t="s">
        <v>2526</v>
      </c>
      <c r="I21" s="3058">
        <v>5</v>
      </c>
      <c r="J21" s="3058">
        <v>54.2</v>
      </c>
    </row>
    <row r="22" spans="1:13">
      <c r="A22" s="3035" t="s">
        <v>2527</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2528</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2568</v>
      </c>
      <c r="M23" s="3058" t="s">
        <v>2569</v>
      </c>
    </row>
    <row r="24" spans="1:13">
      <c r="A24" s="3035" t="s">
        <v>2529</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2567</v>
      </c>
      <c r="M24" s="3058">
        <v>10</v>
      </c>
    </row>
    <row r="25" spans="1:13">
      <c r="A25" s="3035" t="s">
        <v>2530</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2571</v>
      </c>
      <c r="M25" s="3058">
        <v>8</v>
      </c>
    </row>
    <row r="26" spans="1:13">
      <c r="A26" s="3040"/>
      <c r="B26" s="3041"/>
      <c r="C26" s="3041"/>
      <c r="D26" s="3041"/>
      <c r="E26" s="3041"/>
      <c r="F26" s="3041"/>
      <c r="G26" s="3042"/>
      <c r="I26" s="3058">
        <v>30</v>
      </c>
      <c r="J26" s="3058">
        <v>90.5</v>
      </c>
      <c r="K26" s="3058">
        <f t="shared" si="2"/>
        <v>4.2000000000000028</v>
      </c>
      <c r="L26" s="3058" t="s">
        <v>2572</v>
      </c>
      <c r="M26" s="3058">
        <v>5</v>
      </c>
    </row>
    <row r="27" spans="1:13">
      <c r="A27" s="3040" t="s">
        <v>2531</v>
      </c>
      <c r="B27" s="3041"/>
      <c r="C27" s="3041"/>
      <c r="D27" s="3041"/>
      <c r="E27" s="3041"/>
      <c r="F27" s="3041"/>
      <c r="G27" s="3042"/>
      <c r="I27" s="3058">
        <v>35</v>
      </c>
      <c r="J27" s="3058">
        <v>93.8</v>
      </c>
      <c r="K27" s="3058">
        <f t="shared" si="2"/>
        <v>3.2999999999999972</v>
      </c>
      <c r="L27" s="3058" t="s">
        <v>2573</v>
      </c>
      <c r="M27" s="3058">
        <v>3</v>
      </c>
    </row>
    <row r="28" spans="1:13">
      <c r="A28" s="3040" t="s">
        <v>2532</v>
      </c>
      <c r="B28" s="3041"/>
      <c r="C28" s="3041"/>
      <c r="D28" s="3041"/>
      <c r="E28" s="3041"/>
      <c r="F28" s="3041"/>
      <c r="G28" s="3042"/>
      <c r="I28" s="3058">
        <v>40</v>
      </c>
      <c r="J28" s="3058">
        <v>96.4</v>
      </c>
      <c r="K28" s="3058">
        <f t="shared" si="2"/>
        <v>2.6000000000000085</v>
      </c>
      <c r="L28" s="3058" t="s">
        <v>2574</v>
      </c>
      <c r="M28" s="3058">
        <v>2</v>
      </c>
    </row>
    <row r="29" spans="1:13">
      <c r="A29" s="3040" t="s">
        <v>2533</v>
      </c>
      <c r="B29" s="3041"/>
      <c r="C29" s="3041"/>
      <c r="D29" s="3041"/>
      <c r="E29" s="3041"/>
      <c r="F29" s="3041"/>
      <c r="G29" s="3042"/>
      <c r="I29" s="3058">
        <v>45</v>
      </c>
      <c r="J29" s="3058">
        <v>98.4</v>
      </c>
      <c r="K29" s="3058">
        <f t="shared" si="2"/>
        <v>2</v>
      </c>
    </row>
    <row r="30" spans="1:13">
      <c r="A30" s="3040" t="s">
        <v>2534</v>
      </c>
      <c r="B30" s="3041"/>
      <c r="C30" s="3041"/>
      <c r="D30" s="3041"/>
      <c r="E30" s="3041"/>
      <c r="F30" s="3041"/>
      <c r="G30" s="3042"/>
      <c r="I30" s="3058">
        <v>50</v>
      </c>
      <c r="J30" s="3058">
        <v>100</v>
      </c>
      <c r="K30" s="3058">
        <f t="shared" si="2"/>
        <v>1.5999999999999943</v>
      </c>
    </row>
    <row r="31" spans="1:13">
      <c r="A31" s="3040" t="s">
        <v>2535</v>
      </c>
      <c r="B31" s="3041"/>
      <c r="C31" s="3041"/>
      <c r="D31" s="3041"/>
      <c r="E31" s="3041"/>
      <c r="F31" s="3041"/>
      <c r="G31" s="3042"/>
      <c r="I31" s="3058" t="s">
        <v>2566</v>
      </c>
    </row>
    <row r="32" spans="1:13">
      <c r="A32" s="3040" t="s">
        <v>2536</v>
      </c>
      <c r="B32" s="3041"/>
      <c r="C32" s="3041"/>
      <c r="D32" s="3041"/>
      <c r="E32" s="3041"/>
      <c r="F32" s="3041"/>
      <c r="G32" s="3042"/>
    </row>
    <row r="33" spans="1:13">
      <c r="A33" s="3040" t="s">
        <v>2537</v>
      </c>
      <c r="B33" s="3041"/>
      <c r="C33" s="3041"/>
      <c r="D33" s="3041"/>
      <c r="E33" s="3041"/>
      <c r="F33" s="3041"/>
      <c r="G33" s="3042"/>
      <c r="I33" s="3058" t="s">
        <v>2565</v>
      </c>
      <c r="J33" s="3058" t="s">
        <v>2575</v>
      </c>
    </row>
    <row r="34" spans="1:13">
      <c r="A34" s="3040" t="s">
        <v>2538</v>
      </c>
      <c r="B34" s="3041"/>
      <c r="C34" s="3041"/>
      <c r="D34" s="3041"/>
      <c r="E34" s="3041"/>
      <c r="F34" s="3041"/>
      <c r="G34" s="3042"/>
      <c r="I34" s="3058">
        <v>5</v>
      </c>
      <c r="J34" s="3058">
        <v>55.1</v>
      </c>
    </row>
    <row r="35" spans="1:13">
      <c r="A35" s="3040" t="s">
        <v>2539</v>
      </c>
      <c r="B35" s="3041"/>
      <c r="C35" s="3041"/>
      <c r="D35" s="3041"/>
      <c r="E35" s="3041"/>
      <c r="F35" s="3041"/>
      <c r="G35" s="3042"/>
      <c r="I35" s="3058">
        <v>10</v>
      </c>
      <c r="J35" s="3058">
        <v>67</v>
      </c>
      <c r="K35" s="3058">
        <f>J35-J34</f>
        <v>11.899999999999999</v>
      </c>
    </row>
    <row r="36" spans="1:13">
      <c r="A36" s="3040" t="s">
        <v>2540</v>
      </c>
      <c r="B36" s="3041"/>
      <c r="C36" s="3041"/>
      <c r="D36" s="3041"/>
      <c r="E36" s="3041"/>
      <c r="F36" s="3041"/>
      <c r="G36" s="3042"/>
      <c r="I36" s="3058">
        <v>15</v>
      </c>
      <c r="J36" s="3058">
        <v>76.3</v>
      </c>
      <c r="K36" s="3058">
        <f t="shared" ref="K36:K41" si="3">J36-J35</f>
        <v>9.2999999999999972</v>
      </c>
      <c r="L36" s="3058" t="s">
        <v>2568</v>
      </c>
      <c r="M36" s="3058" t="s">
        <v>2569</v>
      </c>
    </row>
    <row r="37" spans="1:13">
      <c r="A37" s="3040" t="s">
        <v>2541</v>
      </c>
      <c r="B37" s="3041"/>
      <c r="C37" s="3041"/>
      <c r="D37" s="3041"/>
      <c r="E37" s="3041"/>
      <c r="F37" s="3041"/>
      <c r="G37" s="3042"/>
      <c r="I37" s="3058">
        <v>20</v>
      </c>
      <c r="J37" s="3058">
        <v>83.6</v>
      </c>
      <c r="K37" s="3058">
        <f t="shared" si="3"/>
        <v>7.2999999999999972</v>
      </c>
      <c r="L37" s="3058" t="s">
        <v>2567</v>
      </c>
      <c r="M37" s="3058">
        <v>10</v>
      </c>
    </row>
    <row r="38" spans="1:13">
      <c r="A38" s="3040" t="s">
        <v>2542</v>
      </c>
      <c r="B38" s="3041"/>
      <c r="C38" s="3041"/>
      <c r="D38" s="3041"/>
      <c r="E38" s="3041"/>
      <c r="F38" s="3041"/>
      <c r="G38" s="3042"/>
      <c r="I38" s="3058">
        <v>25</v>
      </c>
      <c r="J38" s="3058">
        <v>89.3</v>
      </c>
      <c r="K38" s="3058">
        <f t="shared" si="3"/>
        <v>5.7000000000000028</v>
      </c>
      <c r="L38" s="3058" t="s">
        <v>2571</v>
      </c>
      <c r="M38" s="3058">
        <v>8</v>
      </c>
    </row>
    <row r="39" spans="1:13">
      <c r="A39" s="3040"/>
      <c r="B39" s="3041"/>
      <c r="C39" s="3041"/>
      <c r="D39" s="3041"/>
      <c r="E39" s="3041"/>
      <c r="F39" s="3041"/>
      <c r="G39" s="3042"/>
      <c r="I39" s="3058">
        <v>30</v>
      </c>
      <c r="J39" s="3058">
        <v>93.8</v>
      </c>
      <c r="K39" s="3058">
        <f t="shared" si="3"/>
        <v>4.5</v>
      </c>
      <c r="L39" s="3058" t="s">
        <v>2572</v>
      </c>
      <c r="M39" s="3058">
        <v>6</v>
      </c>
    </row>
    <row r="40" spans="1:13">
      <c r="A40" s="3043" t="s">
        <v>2543</v>
      </c>
      <c r="B40" s="3044"/>
      <c r="C40" s="3044"/>
      <c r="D40" s="3044"/>
      <c r="E40" s="3044"/>
      <c r="F40" s="3044"/>
      <c r="G40" s="3045"/>
      <c r="I40" s="3058">
        <v>35</v>
      </c>
      <c r="J40" s="3058">
        <v>97.2</v>
      </c>
      <c r="K40" s="3058">
        <f t="shared" si="3"/>
        <v>3.4000000000000057</v>
      </c>
      <c r="L40" s="3058" t="s">
        <v>2573</v>
      </c>
      <c r="M40" s="3058">
        <v>3</v>
      </c>
    </row>
    <row r="41" spans="1:13">
      <c r="A41" s="3046" t="s">
        <v>2544</v>
      </c>
      <c r="B41" s="3047" t="s">
        <v>2545</v>
      </c>
      <c r="C41" s="3048" t="s">
        <v>2546</v>
      </c>
      <c r="D41" s="3048" t="s">
        <v>2547</v>
      </c>
      <c r="E41" s="3049"/>
      <c r="F41" s="3050"/>
      <c r="G41" s="3051"/>
      <c r="I41" s="3058">
        <v>40</v>
      </c>
      <c r="J41" s="3058">
        <v>100</v>
      </c>
      <c r="K41" s="3058">
        <f t="shared" si="3"/>
        <v>2.7999999999999972</v>
      </c>
    </row>
    <row r="42" spans="1:13">
      <c r="A42" s="3046" t="s">
        <v>2548</v>
      </c>
      <c r="B42" s="3047" t="s">
        <v>2549</v>
      </c>
      <c r="C42" s="3048" t="s">
        <v>2550</v>
      </c>
      <c r="D42" s="3052" t="s">
        <v>2551</v>
      </c>
      <c r="E42" s="3044" t="s">
        <v>2552</v>
      </c>
      <c r="F42" s="3044"/>
      <c r="G42" s="3045"/>
    </row>
    <row r="43" spans="1:13">
      <c r="A43" s="3046" t="s">
        <v>2553</v>
      </c>
      <c r="B43" s="3047" t="s">
        <v>2554</v>
      </c>
      <c r="C43" s="3048" t="s">
        <v>2555</v>
      </c>
      <c r="D43" s="3048" t="s">
        <v>2556</v>
      </c>
      <c r="E43" s="3049" t="s">
        <v>2557</v>
      </c>
      <c r="F43" s="3050"/>
      <c r="G43" s="3051"/>
      <c r="I43" s="3058" t="s">
        <v>2565</v>
      </c>
      <c r="J43" s="3058" t="s">
        <v>2576</v>
      </c>
    </row>
    <row r="44" spans="1:13">
      <c r="A44" s="3046" t="s">
        <v>2558</v>
      </c>
      <c r="B44" s="3047" t="s">
        <v>2559</v>
      </c>
      <c r="C44" s="3048" t="s">
        <v>2560</v>
      </c>
      <c r="D44" s="3052">
        <v>0.5</v>
      </c>
      <c r="E44" s="3049" t="s">
        <v>2561</v>
      </c>
      <c r="F44" s="3050"/>
      <c r="G44" s="3051"/>
      <c r="I44" s="3058">
        <v>30</v>
      </c>
      <c r="J44" s="3058">
        <v>81.7</v>
      </c>
    </row>
    <row r="45" spans="1:13" ht="14.25" thickBot="1">
      <c r="A45" s="3053" t="s">
        <v>2562</v>
      </c>
      <c r="B45" s="3054" t="s">
        <v>2549</v>
      </c>
      <c r="C45" s="3055" t="s">
        <v>2549</v>
      </c>
      <c r="D45" s="3055" t="s">
        <v>2563</v>
      </c>
      <c r="E45" s="3056" t="s">
        <v>2564</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E15" sqref="E15"/>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2165</v>
      </c>
      <c r="B1" s="3636" t="str">
        <f>IF(B10="北京市","北京市",C10)&amp;F10&amp;IF(结果表!G1="在建","出让国有建设用地使用权及在建建筑物",IF(结果表!G1="土地","出让国有建设用地使用权",))&amp;B9&amp;"预评估"</f>
        <v>北京市房地产抵押价值预评估</v>
      </c>
      <c r="C1" s="3637"/>
      <c r="D1" s="3637"/>
      <c r="E1" s="3637"/>
      <c r="F1" s="3637"/>
      <c r="G1" s="3637"/>
      <c r="H1" s="3637"/>
      <c r="I1" s="3638"/>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2166</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2167</v>
      </c>
      <c r="B3" s="2373">
        <v>45400</v>
      </c>
      <c r="C3" s="2374" t="s">
        <v>2168</v>
      </c>
      <c r="D3" s="2373">
        <f>B3</f>
        <v>45400</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2169</v>
      </c>
      <c r="B4" s="2375" t="s">
        <v>3674</v>
      </c>
      <c r="C4" s="2376">
        <f ca="1">SUMIF(注册房地产估价师,B4,估价师及机构信息!B3:B24)</f>
        <v>1419970001</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 ca="1">CONCATENATE(B4,"（注册号：",C4,")、",D4,"（注册号：",E4,")")</f>
        <v>吴薇（注册号：1419970001)、（注册号：0)</v>
      </c>
      <c r="L4" s="2369"/>
      <c r="M4" s="2369"/>
      <c r="N4" s="2370"/>
      <c r="O4" s="1576"/>
      <c r="P4" s="2370"/>
      <c r="Q4" s="2370"/>
      <c r="R4" s="2370"/>
      <c r="S4" s="1682"/>
      <c r="T4" s="1745"/>
      <c r="U4" s="1745"/>
      <c r="V4" s="1745"/>
      <c r="W4" s="1745"/>
      <c r="X4" s="1745"/>
      <c r="Y4" s="1745"/>
      <c r="Z4" s="1745"/>
      <c r="AA4" s="1745"/>
      <c r="AB4" s="1745"/>
    </row>
    <row r="5" spans="1:30" ht="13.5" thickTop="1">
      <c r="A5" s="2379" t="s">
        <v>2170</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2171</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2172</v>
      </c>
      <c r="B7" s="2387"/>
      <c r="C7" s="2385"/>
      <c r="D7" s="2386"/>
      <c r="E7" s="2662"/>
      <c r="F7" s="2664"/>
      <c r="G7" s="2664"/>
      <c r="H7" s="2664"/>
      <c r="I7" s="2664"/>
      <c r="J7" s="2439"/>
      <c r="K7" s="2616"/>
      <c r="L7" s="2613"/>
      <c r="M7" s="2613"/>
      <c r="N7" s="2439"/>
      <c r="O7" s="2450"/>
      <c r="P7" s="2439"/>
      <c r="Q7" s="2439"/>
      <c r="R7" s="2439"/>
    </row>
    <row r="8" spans="1:30">
      <c r="A8" s="2388" t="s">
        <v>2173</v>
      </c>
      <c r="B8" s="2389" t="s">
        <v>3377</v>
      </c>
      <c r="C8" s="2390"/>
      <c r="D8" s="3639" t="s">
        <v>2174</v>
      </c>
      <c r="E8" s="2391" t="s">
        <v>3381</v>
      </c>
      <c r="F8" s="2392"/>
      <c r="G8" s="2663"/>
      <c r="H8" s="2663"/>
      <c r="I8" s="2663"/>
      <c r="J8" s="2439"/>
      <c r="K8" s="2614"/>
      <c r="L8" s="2613"/>
      <c r="M8" s="2613"/>
      <c r="N8" s="2439"/>
      <c r="O8" s="2450"/>
      <c r="P8" s="2439"/>
      <c r="Q8" s="2439"/>
      <c r="R8" s="2439"/>
    </row>
    <row r="9" spans="1:30" ht="13.5" thickBot="1">
      <c r="A9" s="2393" t="s">
        <v>2175</v>
      </c>
      <c r="B9" s="2394" t="s">
        <v>3381</v>
      </c>
      <c r="C9" s="2395"/>
      <c r="D9" s="3640"/>
      <c r="E9" s="2394" t="s">
        <v>43</v>
      </c>
      <c r="F9" s="2396"/>
      <c r="G9" s="2665"/>
      <c r="H9" s="2665"/>
      <c r="I9" s="2665"/>
      <c r="J9" s="2439"/>
      <c r="K9" s="2616"/>
      <c r="L9" s="2613"/>
      <c r="M9" s="2613"/>
      <c r="N9" s="2439"/>
      <c r="O9" s="2450"/>
      <c r="P9" s="2439"/>
      <c r="Q9" s="2439"/>
      <c r="R9" s="2439"/>
    </row>
    <row r="10" spans="1:30" ht="13.5" thickTop="1">
      <c r="A10" s="2397" t="s">
        <v>2176</v>
      </c>
      <c r="B10" s="2398" t="s">
        <v>3538</v>
      </c>
      <c r="C10" s="2399"/>
      <c r="D10" s="2382"/>
      <c r="E10" s="2400" t="s">
        <v>2177</v>
      </c>
      <c r="F10" s="2666"/>
      <c r="G10" s="2667"/>
      <c r="H10" s="2668"/>
      <c r="I10" s="2669"/>
      <c r="J10" s="2439"/>
      <c r="K10" s="2616"/>
      <c r="L10" s="2613"/>
      <c r="M10" s="2613"/>
      <c r="N10" s="2439"/>
      <c r="O10" s="2450"/>
      <c r="P10" s="2439"/>
      <c r="Q10" s="2439"/>
      <c r="R10" s="2439"/>
    </row>
    <row r="11" spans="1:30">
      <c r="A11" s="2401" t="s">
        <v>2178</v>
      </c>
      <c r="B11" s="2402" t="s">
        <v>3539</v>
      </c>
      <c r="C11" s="2403"/>
      <c r="D11" s="2404"/>
      <c r="E11" s="2370"/>
      <c r="F11" s="2370"/>
      <c r="G11" s="2370"/>
      <c r="H11" s="2370"/>
      <c r="I11" s="2370"/>
      <c r="J11" s="3061"/>
      <c r="K11" s="3060"/>
      <c r="L11" s="2613"/>
      <c r="M11" s="2613"/>
      <c r="N11" s="2439"/>
      <c r="O11" s="2450"/>
      <c r="P11" s="2439"/>
      <c r="Q11" s="2439"/>
      <c r="R11" s="2439"/>
    </row>
    <row r="12" spans="1:30">
      <c r="A12" s="2405" t="s">
        <v>2179</v>
      </c>
      <c r="B12" s="323" t="s">
        <v>2180</v>
      </c>
      <c r="C12" s="2406" t="s">
        <v>2181</v>
      </c>
      <c r="D12" s="2406" t="s">
        <v>2182</v>
      </c>
      <c r="E12" s="2406" t="s">
        <v>2183</v>
      </c>
      <c r="F12" s="2406" t="s">
        <v>2184</v>
      </c>
      <c r="G12" s="2406" t="s">
        <v>2185</v>
      </c>
      <c r="H12" s="2406" t="s">
        <v>2186</v>
      </c>
      <c r="I12" s="3059" t="s">
        <v>2577</v>
      </c>
      <c r="J12" s="3062"/>
      <c r="K12" s="2613"/>
      <c r="L12" s="2613"/>
      <c r="M12" s="2439"/>
      <c r="N12" s="2450"/>
      <c r="O12" s="2439"/>
      <c r="P12" s="2439"/>
      <c r="Q12" s="2439"/>
      <c r="AD12" s="1745"/>
    </row>
    <row r="13" spans="1:30">
      <c r="A13" s="3423" t="s">
        <v>3333</v>
      </c>
      <c r="B13" s="2407" t="s">
        <v>2187</v>
      </c>
      <c r="C13" s="856"/>
      <c r="D13" s="856">
        <v>63659</v>
      </c>
      <c r="E13" s="856">
        <v>56665</v>
      </c>
      <c r="F13" s="856"/>
      <c r="G13" s="856"/>
      <c r="H13" s="856"/>
      <c r="I13" s="856"/>
      <c r="J13" s="3062"/>
      <c r="K13" s="2613"/>
      <c r="L13" s="2613"/>
      <c r="M13" s="2439"/>
      <c r="N13" s="2450"/>
      <c r="O13" s="2439"/>
      <c r="P13" s="2439"/>
      <c r="Q13" s="2439"/>
      <c r="AD13" s="1745"/>
    </row>
    <row r="14" spans="1:30">
      <c r="A14" s="1081"/>
      <c r="B14" s="2407" t="s">
        <v>2188</v>
      </c>
      <c r="C14" s="2408"/>
      <c r="D14" s="2408">
        <v>50</v>
      </c>
      <c r="E14" s="2408">
        <v>50</v>
      </c>
      <c r="F14" s="2408"/>
      <c r="G14" s="2408"/>
      <c r="H14" s="2408"/>
      <c r="I14" s="2408"/>
      <c r="J14" s="3063"/>
      <c r="K14" s="2613"/>
      <c r="L14" s="2613"/>
      <c r="M14" s="2439"/>
      <c r="N14" s="2450"/>
      <c r="O14" s="2439"/>
      <c r="P14" s="2439"/>
      <c r="Q14" s="2439"/>
      <c r="AD14" s="1745"/>
    </row>
    <row r="15" spans="1:30">
      <c r="A15" s="320"/>
      <c r="B15" s="2409" t="s">
        <v>2189</v>
      </c>
      <c r="C15" s="2410" t="str">
        <f>IF(A13="出让",IF(C13="","",ROUNDDOWN(MIN((C13-$D$3)/365,C14),2)),C14)</f>
        <v/>
      </c>
      <c r="D15" s="2410">
        <f>IF(A13="出让",IF(D13="","",ROUNDDOWN(MIN((D13-$D$3)/365,D14),2)),D14)</f>
        <v>50</v>
      </c>
      <c r="E15" s="2410">
        <f>IF(A13="出让",IF(E13="","",ROUNDDOWN(MIN((E13-$D$3)/365,E14),2)),E14)</f>
        <v>30.86</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2190</v>
      </c>
      <c r="B16" s="3646"/>
      <c r="C16" s="3647"/>
      <c r="D16" s="3648"/>
      <c r="E16" s="2413" t="s">
        <v>2191</v>
      </c>
      <c r="F16" s="3649"/>
      <c r="G16" s="3650"/>
      <c r="H16" s="3650"/>
      <c r="I16" s="3651"/>
      <c r="J16" s="2439"/>
      <c r="K16" s="2617"/>
      <c r="L16" s="2451"/>
      <c r="M16" s="2451"/>
      <c r="N16" s="2509"/>
      <c r="O16" s="2451"/>
      <c r="P16" s="2509"/>
      <c r="Q16" s="2439"/>
      <c r="R16" s="2439"/>
    </row>
    <row r="17" spans="1:28">
      <c r="A17" s="313" t="s">
        <v>2192</v>
      </c>
      <c r="B17" s="302" t="s">
        <v>2193</v>
      </c>
      <c r="C17" s="8">
        <f>'数据-汇总表'!E3</f>
        <v>18448.600000000002</v>
      </c>
      <c r="D17" s="2322" t="s">
        <v>2194</v>
      </c>
      <c r="E17" s="3652" t="s">
        <v>2195</v>
      </c>
      <c r="F17" s="3653"/>
      <c r="G17" s="3653"/>
      <c r="H17" s="3653"/>
      <c r="I17" s="3654"/>
      <c r="J17" s="2439"/>
      <c r="K17" s="2618"/>
      <c r="L17" s="2451"/>
      <c r="M17" s="2451"/>
      <c r="N17" s="2509"/>
      <c r="O17" s="2451"/>
      <c r="P17" s="2509"/>
      <c r="Q17" s="2439"/>
      <c r="R17" s="2439"/>
      <c r="S17" s="2439"/>
      <c r="T17" s="2439"/>
      <c r="U17" s="2439"/>
      <c r="V17" s="2439"/>
    </row>
    <row r="18" spans="1:28" ht="24.75" thickBot="1">
      <c r="A18" s="2414" t="s">
        <v>2196</v>
      </c>
      <c r="B18" s="1090" t="s">
        <v>2197</v>
      </c>
      <c r="C18" s="2415">
        <f>'数据-汇总表'!D3</f>
        <v>0</v>
      </c>
      <c r="D18" s="1092" t="s">
        <v>2198</v>
      </c>
      <c r="E18" s="3655" t="s">
        <v>2199</v>
      </c>
      <c r="F18" s="3656"/>
      <c r="G18" s="3656"/>
      <c r="H18" s="3656"/>
      <c r="I18" s="3657"/>
      <c r="J18" s="2439"/>
      <c r="K18" s="2618"/>
      <c r="L18" s="2451"/>
      <c r="M18" s="2451"/>
      <c r="N18" s="2509"/>
      <c r="O18" s="2451"/>
      <c r="P18" s="2509"/>
      <c r="Q18" s="2439"/>
      <c r="R18" s="2439"/>
      <c r="S18" s="2439"/>
      <c r="T18" s="2439"/>
      <c r="U18" s="2439"/>
      <c r="V18" s="2439"/>
    </row>
    <row r="19" spans="1:28" ht="37.5" thickTop="1" thickBot="1">
      <c r="A19" s="327" t="s">
        <v>1053</v>
      </c>
      <c r="B19" s="307" t="s">
        <v>2200</v>
      </c>
      <c r="C19" s="1563"/>
      <c r="D19" s="1564" t="s">
        <v>2201</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2202</v>
      </c>
      <c r="B20" s="3642" t="s">
        <v>2203</v>
      </c>
      <c r="C20" s="3643"/>
      <c r="D20" s="3644" t="s">
        <v>2204</v>
      </c>
      <c r="E20" s="3645"/>
      <c r="F20" s="2647" t="s">
        <v>1054</v>
      </c>
      <c r="G20" s="2664"/>
      <c r="H20" s="2664"/>
      <c r="I20" s="2664"/>
      <c r="J20" s="2439"/>
      <c r="K20" s="3641" t="s">
        <v>2205</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2206</v>
      </c>
      <c r="C21" s="2634" t="s">
        <v>1055</v>
      </c>
      <c r="D21" s="1568" t="s">
        <v>2207</v>
      </c>
      <c r="E21" s="2635" t="s">
        <v>1055</v>
      </c>
      <c r="F21" s="2648"/>
      <c r="G21" s="2664"/>
      <c r="H21" s="2664"/>
      <c r="I21" s="2664"/>
      <c r="J21" s="2439"/>
      <c r="K21" s="3641"/>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2208</v>
      </c>
      <c r="C22" s="2634" t="s">
        <v>1056</v>
      </c>
      <c r="D22" s="2663"/>
      <c r="E22" s="2663"/>
      <c r="F22" s="2663"/>
      <c r="G22" s="2664"/>
      <c r="H22" s="2664"/>
      <c r="I22" s="2664"/>
      <c r="J22" s="2439"/>
      <c r="K22" s="3641"/>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2209</v>
      </c>
      <c r="B23" s="2502" t="s">
        <v>2210</v>
      </c>
      <c r="C23" s="2638"/>
      <c r="D23" s="2639" t="s">
        <v>2210</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1057</v>
      </c>
      <c r="C24" s="2641"/>
      <c r="D24" s="2637" t="s">
        <v>1057</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1058</v>
      </c>
      <c r="C25" s="2641"/>
      <c r="D25" s="2637" t="s">
        <v>1058</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1059</v>
      </c>
      <c r="C26" s="2645"/>
      <c r="D26" s="2643" t="s">
        <v>1059</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629" t="s">
        <v>2211</v>
      </c>
      <c r="B27" s="320" t="s">
        <v>2212</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629"/>
      <c r="B28" s="302" t="s">
        <v>2213</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629"/>
      <c r="B29" s="302" t="s">
        <v>2214</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630"/>
      <c r="B30" s="302" t="s">
        <v>2215</v>
      </c>
      <c r="C30" s="3631"/>
      <c r="D30" s="3632"/>
      <c r="E30" s="2664"/>
      <c r="F30" s="2664"/>
      <c r="G30" s="2664"/>
      <c r="H30" s="2664"/>
      <c r="I30" s="2664"/>
      <c r="J30" s="2439"/>
      <c r="K30" s="2616"/>
      <c r="L30" s="2613"/>
      <c r="M30" s="2613"/>
      <c r="N30" s="2439"/>
      <c r="O30" s="2450"/>
      <c r="P30" s="2439"/>
      <c r="Q30" s="2439"/>
      <c r="R30" s="2439"/>
      <c r="S30" s="2439"/>
      <c r="T30" s="2439"/>
      <c r="U30" s="2439"/>
      <c r="V30" s="2439"/>
    </row>
    <row r="31" spans="1:28">
      <c r="A31" s="3633" t="s">
        <v>2216</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634"/>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634"/>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2217</v>
      </c>
      <c r="B34" s="2026"/>
      <c r="C34" s="2026"/>
      <c r="D34" s="2026"/>
      <c r="E34" s="2026"/>
      <c r="F34" s="2026"/>
      <c r="G34" s="2026"/>
      <c r="H34" s="2026"/>
      <c r="I34" s="2664"/>
      <c r="J34" s="2439"/>
      <c r="K34" s="2427">
        <f>COUNTIF(B34:H34,"——")</f>
        <v>0</v>
      </c>
      <c r="L34" s="323" t="s">
        <v>2218</v>
      </c>
      <c r="M34" s="323" t="s">
        <v>2219</v>
      </c>
      <c r="N34" s="323" t="s">
        <v>2220</v>
      </c>
      <c r="O34" s="323" t="s">
        <v>2221</v>
      </c>
      <c r="P34" s="323" t="s">
        <v>2222</v>
      </c>
      <c r="Q34" s="323" t="s">
        <v>2223</v>
      </c>
      <c r="R34" s="323" t="s">
        <v>2224</v>
      </c>
      <c r="S34" s="3628" t="s">
        <v>2225</v>
      </c>
      <c r="T34" s="2428" t="str">
        <f>NUMBERSTRING(7-K34,1)&amp;"通"</f>
        <v>七通</v>
      </c>
      <c r="U34" s="2439"/>
      <c r="V34" s="2439"/>
    </row>
    <row r="35" spans="1:30">
      <c r="A35" s="2429"/>
      <c r="B35" s="3635" t="s">
        <v>2226</v>
      </c>
      <c r="C35" s="3635"/>
      <c r="D35" s="3635"/>
      <c r="E35" s="3635"/>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28"/>
      <c r="T35" s="329" t="str">
        <f>IF(T34="一通",L35,IF(T34="二通",M35,IF(T34="三通",N35,IF(T34="四通",O35,IF(T34="五通",P35,IF(T34="六通",Q35,R35))))))</f>
        <v>、、、、、、</v>
      </c>
      <c r="U35" s="2439"/>
      <c r="V35" s="2439"/>
    </row>
    <row r="36" spans="1:30">
      <c r="A36" s="2430"/>
      <c r="B36" s="664" t="s">
        <v>2182</v>
      </c>
      <c r="C36" s="664" t="s">
        <v>2183</v>
      </c>
      <c r="D36" s="664" t="s">
        <v>2181</v>
      </c>
      <c r="E36" s="664" t="s">
        <v>2186</v>
      </c>
      <c r="F36" s="3065" t="s">
        <v>2580</v>
      </c>
      <c r="G36" s="2664"/>
      <c r="H36" s="2664"/>
      <c r="I36" s="2664"/>
      <c r="J36" s="2439"/>
      <c r="K36" s="2616"/>
      <c r="L36" s="2613"/>
      <c r="M36" s="2613"/>
      <c r="N36" s="2439"/>
      <c r="O36" s="2450"/>
      <c r="P36" s="2439"/>
      <c r="Q36" s="2439"/>
      <c r="R36" s="2439"/>
      <c r="S36" s="2439"/>
      <c r="T36" s="2439"/>
      <c r="U36" s="2439"/>
      <c r="V36" s="2439"/>
    </row>
    <row r="37" spans="1:30">
      <c r="A37" s="2630" t="s">
        <v>2227</v>
      </c>
      <c r="B37" s="2431"/>
      <c r="C37" s="2431" t="s">
        <v>184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2228</v>
      </c>
      <c r="B38" s="2432"/>
      <c r="C38" s="2432" t="s">
        <v>230</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2229</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2230</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2231</v>
      </c>
      <c r="B42" s="8" t="s">
        <v>2232</v>
      </c>
      <c r="C42" s="8" t="s">
        <v>2233</v>
      </c>
      <c r="D42" s="8" t="s">
        <v>2234</v>
      </c>
      <c r="E42" s="8" t="s">
        <v>2235</v>
      </c>
      <c r="F42" s="8" t="s">
        <v>2236</v>
      </c>
      <c r="G42" s="8" t="s">
        <v>2237</v>
      </c>
      <c r="H42" s="8" t="s">
        <v>2238</v>
      </c>
      <c r="I42" s="8" t="s">
        <v>2239</v>
      </c>
      <c r="J42" s="2626" t="s">
        <v>2240</v>
      </c>
      <c r="K42" s="2627" t="s">
        <v>2241</v>
      </c>
      <c r="L42" s="2627" t="s">
        <v>2242</v>
      </c>
      <c r="M42" s="2627" t="s">
        <v>2243</v>
      </c>
      <c r="N42" s="2620" t="s">
        <v>2244</v>
      </c>
      <c r="O42" s="2620" t="s">
        <v>2245</v>
      </c>
      <c r="P42" s="2620" t="s">
        <v>2246</v>
      </c>
      <c r="Q42" s="2621" t="s">
        <v>2247</v>
      </c>
      <c r="R42" s="2621" t="s">
        <v>2248</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WWI93"/>
  <sheetViews>
    <sheetView topLeftCell="A13" zoomScale="55" zoomScaleNormal="55" workbookViewId="0">
      <selection activeCell="Q26" sqref="Q26"/>
    </sheetView>
  </sheetViews>
  <sheetFormatPr defaultColWidth="9" defaultRowHeight="15.75" outlineLevelCol="1"/>
  <cols>
    <col min="1" max="1" width="8.5" style="3520" customWidth="1"/>
    <col min="2" max="2" width="17.375" style="3474" customWidth="1" outlineLevel="1"/>
    <col min="3" max="3" width="10.5" style="3474" customWidth="1" outlineLevel="1"/>
    <col min="4" max="4" width="12.5" style="3474" customWidth="1" outlineLevel="1"/>
    <col min="5" max="5" width="9.75" style="3474" customWidth="1" outlineLevel="1"/>
    <col min="6" max="6" width="11.625" style="3474" customWidth="1" outlineLevel="1"/>
    <col min="7" max="7" width="10.625" style="3474" customWidth="1" outlineLevel="1"/>
    <col min="8" max="8" width="14.75" style="3474" customWidth="1"/>
    <col min="9" max="9" width="11.375" style="3474" customWidth="1"/>
    <col min="10" max="10" width="17.5" style="3474" customWidth="1"/>
    <col min="11" max="12" width="10.625" style="3474" customWidth="1"/>
    <col min="13" max="13" width="15.125" style="3474" customWidth="1"/>
    <col min="14" max="14" width="6.75" style="3474" customWidth="1"/>
    <col min="15" max="15" width="13.625" style="3474" customWidth="1"/>
    <col min="16" max="16" width="9.125" style="3474" customWidth="1"/>
    <col min="17" max="17" width="9.625" style="3474" customWidth="1"/>
    <col min="18" max="18" width="11.375" style="3474" customWidth="1"/>
    <col min="19" max="19" width="6.75" style="3474" customWidth="1"/>
    <col min="20" max="20" width="8" style="3474" hidden="1" customWidth="1"/>
    <col min="21" max="21" width="15.125" style="3474" customWidth="1"/>
    <col min="22" max="22" width="10.625" style="3474" customWidth="1"/>
    <col min="23" max="23" width="17.75" style="3474" customWidth="1"/>
    <col min="24" max="24" width="18.625" style="3474" customWidth="1"/>
    <col min="25" max="25" width="19.75" style="3474" customWidth="1"/>
    <col min="26" max="26" width="13.875" style="3474" customWidth="1"/>
    <col min="27" max="27" width="13.625" style="3474" customWidth="1"/>
    <col min="28" max="28" width="13.875" style="3474" customWidth="1"/>
    <col min="29" max="29" width="11.25" style="3474" customWidth="1"/>
    <col min="30" max="30" width="31.375" style="3474" customWidth="1"/>
    <col min="31" max="31" width="9.625" style="3474" customWidth="1"/>
    <col min="32" max="254" width="9" style="3474"/>
    <col min="255" max="255" width="5" style="3474" customWidth="1"/>
    <col min="256" max="256" width="9.75" style="3474" customWidth="1"/>
    <col min="257" max="257" width="17.375" style="3474" customWidth="1"/>
    <col min="258" max="259" width="9.75" style="3474" customWidth="1"/>
    <col min="260" max="260" width="22.625" style="3474" customWidth="1"/>
    <col min="261" max="261" width="18.625" style="3474" customWidth="1"/>
    <col min="262" max="262" width="13" style="3474" customWidth="1"/>
    <col min="263" max="263" width="9.5" style="3474" customWidth="1"/>
    <col min="264" max="264" width="7.875" style="3474" customWidth="1"/>
    <col min="265" max="265" width="10.25" style="3474" customWidth="1"/>
    <col min="266" max="266" width="6.75" style="3474" customWidth="1"/>
    <col min="267" max="267" width="9" style="3474" hidden="1" customWidth="1"/>
    <col min="268" max="269" width="6.75" style="3474" customWidth="1"/>
    <col min="270" max="270" width="8" style="3474" customWidth="1"/>
    <col min="271" max="271" width="8.875" style="3474" customWidth="1"/>
    <col min="272" max="272" width="11.125" style="3474" customWidth="1"/>
    <col min="273" max="273" width="14.5" style="3474" customWidth="1"/>
    <col min="274" max="274" width="8.875" style="3474" customWidth="1"/>
    <col min="275" max="275" width="8" style="3474" customWidth="1"/>
    <col min="276" max="276" width="14" style="3474" customWidth="1"/>
    <col min="277" max="277" width="14.375" style="3474" customWidth="1"/>
    <col min="278" max="283" width="9" style="3474" hidden="1" customWidth="1"/>
    <col min="284" max="284" width="7.5" style="3474" customWidth="1"/>
    <col min="285" max="285" width="10" style="3474" customWidth="1"/>
    <col min="286" max="510" width="9" style="3474"/>
    <col min="511" max="511" width="5" style="3474" customWidth="1"/>
    <col min="512" max="512" width="9.75" style="3474" customWidth="1"/>
    <col min="513" max="513" width="17.375" style="3474" customWidth="1"/>
    <col min="514" max="515" width="9.75" style="3474" customWidth="1"/>
    <col min="516" max="516" width="22.625" style="3474" customWidth="1"/>
    <col min="517" max="517" width="18.625" style="3474" customWidth="1"/>
    <col min="518" max="518" width="13" style="3474" customWidth="1"/>
    <col min="519" max="519" width="9.5" style="3474" customWidth="1"/>
    <col min="520" max="520" width="7.875" style="3474" customWidth="1"/>
    <col min="521" max="521" width="10.25" style="3474" customWidth="1"/>
    <col min="522" max="522" width="6.75" style="3474" customWidth="1"/>
    <col min="523" max="523" width="9" style="3474" hidden="1" customWidth="1"/>
    <col min="524" max="525" width="6.75" style="3474" customWidth="1"/>
    <col min="526" max="526" width="8" style="3474" customWidth="1"/>
    <col min="527" max="527" width="8.875" style="3474" customWidth="1"/>
    <col min="528" max="528" width="11.125" style="3474" customWidth="1"/>
    <col min="529" max="529" width="14.5" style="3474" customWidth="1"/>
    <col min="530" max="530" width="8.875" style="3474" customWidth="1"/>
    <col min="531" max="531" width="8" style="3474" customWidth="1"/>
    <col min="532" max="532" width="14" style="3474" customWidth="1"/>
    <col min="533" max="533" width="14.375" style="3474" customWidth="1"/>
    <col min="534" max="539" width="9" style="3474" hidden="1" customWidth="1"/>
    <col min="540" max="540" width="7.5" style="3474" customWidth="1"/>
    <col min="541" max="541" width="10" style="3474" customWidth="1"/>
    <col min="542" max="766" width="9" style="3474"/>
    <col min="767" max="767" width="5" style="3474" customWidth="1"/>
    <col min="768" max="768" width="9.75" style="3474" customWidth="1"/>
    <col min="769" max="769" width="17.375" style="3474" customWidth="1"/>
    <col min="770" max="771" width="9.75" style="3474" customWidth="1"/>
    <col min="772" max="772" width="22.625" style="3474" customWidth="1"/>
    <col min="773" max="773" width="18.625" style="3474" customWidth="1"/>
    <col min="774" max="774" width="13" style="3474" customWidth="1"/>
    <col min="775" max="775" width="9.5" style="3474" customWidth="1"/>
    <col min="776" max="776" width="7.875" style="3474" customWidth="1"/>
    <col min="777" max="777" width="10.25" style="3474" customWidth="1"/>
    <col min="778" max="778" width="6.75" style="3474" customWidth="1"/>
    <col min="779" max="779" width="9" style="3474" hidden="1" customWidth="1"/>
    <col min="780" max="781" width="6.75" style="3474" customWidth="1"/>
    <col min="782" max="782" width="8" style="3474" customWidth="1"/>
    <col min="783" max="783" width="8.875" style="3474" customWidth="1"/>
    <col min="784" max="784" width="11.125" style="3474" customWidth="1"/>
    <col min="785" max="785" width="14.5" style="3474" customWidth="1"/>
    <col min="786" max="786" width="8.875" style="3474" customWidth="1"/>
    <col min="787" max="787" width="8" style="3474" customWidth="1"/>
    <col min="788" max="788" width="14" style="3474" customWidth="1"/>
    <col min="789" max="789" width="14.375" style="3474" customWidth="1"/>
    <col min="790" max="795" width="9" style="3474" hidden="1" customWidth="1"/>
    <col min="796" max="796" width="7.5" style="3474" customWidth="1"/>
    <col min="797" max="797" width="10" style="3474" customWidth="1"/>
    <col min="798" max="1022" width="9" style="3474"/>
    <col min="1023" max="1023" width="5" style="3474" customWidth="1"/>
    <col min="1024" max="1024" width="9.75" style="3474" customWidth="1"/>
    <col min="1025" max="1025" width="17.375" style="3474" customWidth="1"/>
    <col min="1026" max="1027" width="9.75" style="3474" customWidth="1"/>
    <col min="1028" max="1028" width="22.625" style="3474" customWidth="1"/>
    <col min="1029" max="1029" width="18.625" style="3474" customWidth="1"/>
    <col min="1030" max="1030" width="13" style="3474" customWidth="1"/>
    <col min="1031" max="1031" width="9.5" style="3474" customWidth="1"/>
    <col min="1032" max="1032" width="7.875" style="3474" customWidth="1"/>
    <col min="1033" max="1033" width="10.25" style="3474" customWidth="1"/>
    <col min="1034" max="1034" width="6.75" style="3474" customWidth="1"/>
    <col min="1035" max="1035" width="9" style="3474" hidden="1" customWidth="1"/>
    <col min="1036" max="1037" width="6.75" style="3474" customWidth="1"/>
    <col min="1038" max="1038" width="8" style="3474" customWidth="1"/>
    <col min="1039" max="1039" width="8.875" style="3474" customWidth="1"/>
    <col min="1040" max="1040" width="11.125" style="3474" customWidth="1"/>
    <col min="1041" max="1041" width="14.5" style="3474" customWidth="1"/>
    <col min="1042" max="1042" width="8.875" style="3474" customWidth="1"/>
    <col min="1043" max="1043" width="8" style="3474" customWidth="1"/>
    <col min="1044" max="1044" width="14" style="3474" customWidth="1"/>
    <col min="1045" max="1045" width="14.375" style="3474" customWidth="1"/>
    <col min="1046" max="1051" width="9" style="3474" hidden="1" customWidth="1"/>
    <col min="1052" max="1052" width="7.5" style="3474" customWidth="1"/>
    <col min="1053" max="1053" width="10" style="3474" customWidth="1"/>
    <col min="1054" max="1278" width="9" style="3474"/>
    <col min="1279" max="1279" width="5" style="3474" customWidth="1"/>
    <col min="1280" max="1280" width="9.75" style="3474" customWidth="1"/>
    <col min="1281" max="1281" width="17.375" style="3474" customWidth="1"/>
    <col min="1282" max="1283" width="9.75" style="3474" customWidth="1"/>
    <col min="1284" max="1284" width="22.625" style="3474" customWidth="1"/>
    <col min="1285" max="1285" width="18.625" style="3474" customWidth="1"/>
    <col min="1286" max="1286" width="13" style="3474" customWidth="1"/>
    <col min="1287" max="1287" width="9.5" style="3474" customWidth="1"/>
    <col min="1288" max="1288" width="7.875" style="3474" customWidth="1"/>
    <col min="1289" max="1289" width="10.25" style="3474" customWidth="1"/>
    <col min="1290" max="1290" width="6.75" style="3474" customWidth="1"/>
    <col min="1291" max="1291" width="9" style="3474" hidden="1" customWidth="1"/>
    <col min="1292" max="1293" width="6.75" style="3474" customWidth="1"/>
    <col min="1294" max="1294" width="8" style="3474" customWidth="1"/>
    <col min="1295" max="1295" width="8.875" style="3474" customWidth="1"/>
    <col min="1296" max="1296" width="11.125" style="3474" customWidth="1"/>
    <col min="1297" max="1297" width="14.5" style="3474" customWidth="1"/>
    <col min="1298" max="1298" width="8.875" style="3474" customWidth="1"/>
    <col min="1299" max="1299" width="8" style="3474" customWidth="1"/>
    <col min="1300" max="1300" width="14" style="3474" customWidth="1"/>
    <col min="1301" max="1301" width="14.375" style="3474" customWidth="1"/>
    <col min="1302" max="1307" width="9" style="3474" hidden="1" customWidth="1"/>
    <col min="1308" max="1308" width="7.5" style="3474" customWidth="1"/>
    <col min="1309" max="1309" width="10" style="3474" customWidth="1"/>
    <col min="1310" max="1534" width="9" style="3474"/>
    <col min="1535" max="1535" width="5" style="3474" customWidth="1"/>
    <col min="1536" max="1536" width="9.75" style="3474" customWidth="1"/>
    <col min="1537" max="1537" width="17.375" style="3474" customWidth="1"/>
    <col min="1538" max="1539" width="9.75" style="3474" customWidth="1"/>
    <col min="1540" max="1540" width="22.625" style="3474" customWidth="1"/>
    <col min="1541" max="1541" width="18.625" style="3474" customWidth="1"/>
    <col min="1542" max="1542" width="13" style="3474" customWidth="1"/>
    <col min="1543" max="1543" width="9.5" style="3474" customWidth="1"/>
    <col min="1544" max="1544" width="7.875" style="3474" customWidth="1"/>
    <col min="1545" max="1545" width="10.25" style="3474" customWidth="1"/>
    <col min="1546" max="1546" width="6.75" style="3474" customWidth="1"/>
    <col min="1547" max="1547" width="9" style="3474" hidden="1" customWidth="1"/>
    <col min="1548" max="1549" width="6.75" style="3474" customWidth="1"/>
    <col min="1550" max="1550" width="8" style="3474" customWidth="1"/>
    <col min="1551" max="1551" width="8.875" style="3474" customWidth="1"/>
    <col min="1552" max="1552" width="11.125" style="3474" customWidth="1"/>
    <col min="1553" max="1553" width="14.5" style="3474" customWidth="1"/>
    <col min="1554" max="1554" width="8.875" style="3474" customWidth="1"/>
    <col min="1555" max="1555" width="8" style="3474" customWidth="1"/>
    <col min="1556" max="1556" width="14" style="3474" customWidth="1"/>
    <col min="1557" max="1557" width="14.375" style="3474" customWidth="1"/>
    <col min="1558" max="1563" width="9" style="3474" hidden="1" customWidth="1"/>
    <col min="1564" max="1564" width="7.5" style="3474" customWidth="1"/>
    <col min="1565" max="1565" width="10" style="3474" customWidth="1"/>
    <col min="1566" max="1790" width="9" style="3474"/>
    <col min="1791" max="1791" width="5" style="3474" customWidth="1"/>
    <col min="1792" max="1792" width="9.75" style="3474" customWidth="1"/>
    <col min="1793" max="1793" width="17.375" style="3474" customWidth="1"/>
    <col min="1794" max="1795" width="9.75" style="3474" customWidth="1"/>
    <col min="1796" max="1796" width="22.625" style="3474" customWidth="1"/>
    <col min="1797" max="1797" width="18.625" style="3474" customWidth="1"/>
    <col min="1798" max="1798" width="13" style="3474" customWidth="1"/>
    <col min="1799" max="1799" width="9.5" style="3474" customWidth="1"/>
    <col min="1800" max="1800" width="7.875" style="3474" customWidth="1"/>
    <col min="1801" max="1801" width="10.25" style="3474" customWidth="1"/>
    <col min="1802" max="1802" width="6.75" style="3474" customWidth="1"/>
    <col min="1803" max="1803" width="9" style="3474" hidden="1" customWidth="1"/>
    <col min="1804" max="1805" width="6.75" style="3474" customWidth="1"/>
    <col min="1806" max="1806" width="8" style="3474" customWidth="1"/>
    <col min="1807" max="1807" width="8.875" style="3474" customWidth="1"/>
    <col min="1808" max="1808" width="11.125" style="3474" customWidth="1"/>
    <col min="1809" max="1809" width="14.5" style="3474" customWidth="1"/>
    <col min="1810" max="1810" width="8.875" style="3474" customWidth="1"/>
    <col min="1811" max="1811" width="8" style="3474" customWidth="1"/>
    <col min="1812" max="1812" width="14" style="3474" customWidth="1"/>
    <col min="1813" max="1813" width="14.375" style="3474" customWidth="1"/>
    <col min="1814" max="1819" width="9" style="3474" hidden="1" customWidth="1"/>
    <col min="1820" max="1820" width="7.5" style="3474" customWidth="1"/>
    <col min="1821" max="1821" width="10" style="3474" customWidth="1"/>
    <col min="1822" max="2046" width="9" style="3474"/>
    <col min="2047" max="2047" width="5" style="3474" customWidth="1"/>
    <col min="2048" max="2048" width="9.75" style="3474" customWidth="1"/>
    <col min="2049" max="2049" width="17.375" style="3474" customWidth="1"/>
    <col min="2050" max="2051" width="9.75" style="3474" customWidth="1"/>
    <col min="2052" max="2052" width="22.625" style="3474" customWidth="1"/>
    <col min="2053" max="2053" width="18.625" style="3474" customWidth="1"/>
    <col min="2054" max="2054" width="13" style="3474" customWidth="1"/>
    <col min="2055" max="2055" width="9.5" style="3474" customWidth="1"/>
    <col min="2056" max="2056" width="7.875" style="3474" customWidth="1"/>
    <col min="2057" max="2057" width="10.25" style="3474" customWidth="1"/>
    <col min="2058" max="2058" width="6.75" style="3474" customWidth="1"/>
    <col min="2059" max="2059" width="9" style="3474" hidden="1" customWidth="1"/>
    <col min="2060" max="2061" width="6.75" style="3474" customWidth="1"/>
    <col min="2062" max="2062" width="8" style="3474" customWidth="1"/>
    <col min="2063" max="2063" width="8.875" style="3474" customWidth="1"/>
    <col min="2064" max="2064" width="11.125" style="3474" customWidth="1"/>
    <col min="2065" max="2065" width="14.5" style="3474" customWidth="1"/>
    <col min="2066" max="2066" width="8.875" style="3474" customWidth="1"/>
    <col min="2067" max="2067" width="8" style="3474" customWidth="1"/>
    <col min="2068" max="2068" width="14" style="3474" customWidth="1"/>
    <col min="2069" max="2069" width="14.375" style="3474" customWidth="1"/>
    <col min="2070" max="2075" width="9" style="3474" hidden="1" customWidth="1"/>
    <col min="2076" max="2076" width="7.5" style="3474" customWidth="1"/>
    <col min="2077" max="2077" width="10" style="3474" customWidth="1"/>
    <col min="2078" max="2302" width="9" style="3474"/>
    <col min="2303" max="2303" width="5" style="3474" customWidth="1"/>
    <col min="2304" max="2304" width="9.75" style="3474" customWidth="1"/>
    <col min="2305" max="2305" width="17.375" style="3474" customWidth="1"/>
    <col min="2306" max="2307" width="9.75" style="3474" customWidth="1"/>
    <col min="2308" max="2308" width="22.625" style="3474" customWidth="1"/>
    <col min="2309" max="2309" width="18.625" style="3474" customWidth="1"/>
    <col min="2310" max="2310" width="13" style="3474" customWidth="1"/>
    <col min="2311" max="2311" width="9.5" style="3474" customWidth="1"/>
    <col min="2312" max="2312" width="7.875" style="3474" customWidth="1"/>
    <col min="2313" max="2313" width="10.25" style="3474" customWidth="1"/>
    <col min="2314" max="2314" width="6.75" style="3474" customWidth="1"/>
    <col min="2315" max="2315" width="9" style="3474" hidden="1" customWidth="1"/>
    <col min="2316" max="2317" width="6.75" style="3474" customWidth="1"/>
    <col min="2318" max="2318" width="8" style="3474" customWidth="1"/>
    <col min="2319" max="2319" width="8.875" style="3474" customWidth="1"/>
    <col min="2320" max="2320" width="11.125" style="3474" customWidth="1"/>
    <col min="2321" max="2321" width="14.5" style="3474" customWidth="1"/>
    <col min="2322" max="2322" width="8.875" style="3474" customWidth="1"/>
    <col min="2323" max="2323" width="8" style="3474" customWidth="1"/>
    <col min="2324" max="2324" width="14" style="3474" customWidth="1"/>
    <col min="2325" max="2325" width="14.375" style="3474" customWidth="1"/>
    <col min="2326" max="2331" width="9" style="3474" hidden="1" customWidth="1"/>
    <col min="2332" max="2332" width="7.5" style="3474" customWidth="1"/>
    <col min="2333" max="2333" width="10" style="3474" customWidth="1"/>
    <col min="2334" max="2558" width="9" style="3474"/>
    <col min="2559" max="2559" width="5" style="3474" customWidth="1"/>
    <col min="2560" max="2560" width="9.75" style="3474" customWidth="1"/>
    <col min="2561" max="2561" width="17.375" style="3474" customWidth="1"/>
    <col min="2562" max="2563" width="9.75" style="3474" customWidth="1"/>
    <col min="2564" max="2564" width="22.625" style="3474" customWidth="1"/>
    <col min="2565" max="2565" width="18.625" style="3474" customWidth="1"/>
    <col min="2566" max="2566" width="13" style="3474" customWidth="1"/>
    <col min="2567" max="2567" width="9.5" style="3474" customWidth="1"/>
    <col min="2568" max="2568" width="7.875" style="3474" customWidth="1"/>
    <col min="2569" max="2569" width="10.25" style="3474" customWidth="1"/>
    <col min="2570" max="2570" width="6.75" style="3474" customWidth="1"/>
    <col min="2571" max="2571" width="9" style="3474" hidden="1" customWidth="1"/>
    <col min="2572" max="2573" width="6.75" style="3474" customWidth="1"/>
    <col min="2574" max="2574" width="8" style="3474" customWidth="1"/>
    <col min="2575" max="2575" width="8.875" style="3474" customWidth="1"/>
    <col min="2576" max="2576" width="11.125" style="3474" customWidth="1"/>
    <col min="2577" max="2577" width="14.5" style="3474" customWidth="1"/>
    <col min="2578" max="2578" width="8.875" style="3474" customWidth="1"/>
    <col min="2579" max="2579" width="8" style="3474" customWidth="1"/>
    <col min="2580" max="2580" width="14" style="3474" customWidth="1"/>
    <col min="2581" max="2581" width="14.375" style="3474" customWidth="1"/>
    <col min="2582" max="2587" width="9" style="3474" hidden="1" customWidth="1"/>
    <col min="2588" max="2588" width="7.5" style="3474" customWidth="1"/>
    <col min="2589" max="2589" width="10" style="3474" customWidth="1"/>
    <col min="2590" max="2814" width="9" style="3474"/>
    <col min="2815" max="2815" width="5" style="3474" customWidth="1"/>
    <col min="2816" max="2816" width="9.75" style="3474" customWidth="1"/>
    <col min="2817" max="2817" width="17.375" style="3474" customWidth="1"/>
    <col min="2818" max="2819" width="9.75" style="3474" customWidth="1"/>
    <col min="2820" max="2820" width="22.625" style="3474" customWidth="1"/>
    <col min="2821" max="2821" width="18.625" style="3474" customWidth="1"/>
    <col min="2822" max="2822" width="13" style="3474" customWidth="1"/>
    <col min="2823" max="2823" width="9.5" style="3474" customWidth="1"/>
    <col min="2824" max="2824" width="7.875" style="3474" customWidth="1"/>
    <col min="2825" max="2825" width="10.25" style="3474" customWidth="1"/>
    <col min="2826" max="2826" width="6.75" style="3474" customWidth="1"/>
    <col min="2827" max="2827" width="9" style="3474" hidden="1" customWidth="1"/>
    <col min="2828" max="2829" width="6.75" style="3474" customWidth="1"/>
    <col min="2830" max="2830" width="8" style="3474" customWidth="1"/>
    <col min="2831" max="2831" width="8.875" style="3474" customWidth="1"/>
    <col min="2832" max="2832" width="11.125" style="3474" customWidth="1"/>
    <col min="2833" max="2833" width="14.5" style="3474" customWidth="1"/>
    <col min="2834" max="2834" width="8.875" style="3474" customWidth="1"/>
    <col min="2835" max="2835" width="8" style="3474" customWidth="1"/>
    <col min="2836" max="2836" width="14" style="3474" customWidth="1"/>
    <col min="2837" max="2837" width="14.375" style="3474" customWidth="1"/>
    <col min="2838" max="2843" width="9" style="3474" hidden="1" customWidth="1"/>
    <col min="2844" max="2844" width="7.5" style="3474" customWidth="1"/>
    <col min="2845" max="2845" width="10" style="3474" customWidth="1"/>
    <col min="2846" max="3070" width="9" style="3474"/>
    <col min="3071" max="3071" width="5" style="3474" customWidth="1"/>
    <col min="3072" max="3072" width="9.75" style="3474" customWidth="1"/>
    <col min="3073" max="3073" width="17.375" style="3474" customWidth="1"/>
    <col min="3074" max="3075" width="9.75" style="3474" customWidth="1"/>
    <col min="3076" max="3076" width="22.625" style="3474" customWidth="1"/>
    <col min="3077" max="3077" width="18.625" style="3474" customWidth="1"/>
    <col min="3078" max="3078" width="13" style="3474" customWidth="1"/>
    <col min="3079" max="3079" width="9.5" style="3474" customWidth="1"/>
    <col min="3080" max="3080" width="7.875" style="3474" customWidth="1"/>
    <col min="3081" max="3081" width="10.25" style="3474" customWidth="1"/>
    <col min="3082" max="3082" width="6.75" style="3474" customWidth="1"/>
    <col min="3083" max="3083" width="9" style="3474" hidden="1" customWidth="1"/>
    <col min="3084" max="3085" width="6.75" style="3474" customWidth="1"/>
    <col min="3086" max="3086" width="8" style="3474" customWidth="1"/>
    <col min="3087" max="3087" width="8.875" style="3474" customWidth="1"/>
    <col min="3088" max="3088" width="11.125" style="3474" customWidth="1"/>
    <col min="3089" max="3089" width="14.5" style="3474" customWidth="1"/>
    <col min="3090" max="3090" width="8.875" style="3474" customWidth="1"/>
    <col min="3091" max="3091" width="8" style="3474" customWidth="1"/>
    <col min="3092" max="3092" width="14" style="3474" customWidth="1"/>
    <col min="3093" max="3093" width="14.375" style="3474" customWidth="1"/>
    <col min="3094" max="3099" width="9" style="3474" hidden="1" customWidth="1"/>
    <col min="3100" max="3100" width="7.5" style="3474" customWidth="1"/>
    <col min="3101" max="3101" width="10" style="3474" customWidth="1"/>
    <col min="3102" max="3326" width="9" style="3474"/>
    <col min="3327" max="3327" width="5" style="3474" customWidth="1"/>
    <col min="3328" max="3328" width="9.75" style="3474" customWidth="1"/>
    <col min="3329" max="3329" width="17.375" style="3474" customWidth="1"/>
    <col min="3330" max="3331" width="9.75" style="3474" customWidth="1"/>
    <col min="3332" max="3332" width="22.625" style="3474" customWidth="1"/>
    <col min="3333" max="3333" width="18.625" style="3474" customWidth="1"/>
    <col min="3334" max="3334" width="13" style="3474" customWidth="1"/>
    <col min="3335" max="3335" width="9.5" style="3474" customWidth="1"/>
    <col min="3336" max="3336" width="7.875" style="3474" customWidth="1"/>
    <col min="3337" max="3337" width="10.25" style="3474" customWidth="1"/>
    <col min="3338" max="3338" width="6.75" style="3474" customWidth="1"/>
    <col min="3339" max="3339" width="9" style="3474" hidden="1" customWidth="1"/>
    <col min="3340" max="3341" width="6.75" style="3474" customWidth="1"/>
    <col min="3342" max="3342" width="8" style="3474" customWidth="1"/>
    <col min="3343" max="3343" width="8.875" style="3474" customWidth="1"/>
    <col min="3344" max="3344" width="11.125" style="3474" customWidth="1"/>
    <col min="3345" max="3345" width="14.5" style="3474" customWidth="1"/>
    <col min="3346" max="3346" width="8.875" style="3474" customWidth="1"/>
    <col min="3347" max="3347" width="8" style="3474" customWidth="1"/>
    <col min="3348" max="3348" width="14" style="3474" customWidth="1"/>
    <col min="3349" max="3349" width="14.375" style="3474" customWidth="1"/>
    <col min="3350" max="3355" width="9" style="3474" hidden="1" customWidth="1"/>
    <col min="3356" max="3356" width="7.5" style="3474" customWidth="1"/>
    <col min="3357" max="3357" width="10" style="3474" customWidth="1"/>
    <col min="3358" max="3582" width="9" style="3474"/>
    <col min="3583" max="3583" width="5" style="3474" customWidth="1"/>
    <col min="3584" max="3584" width="9.75" style="3474" customWidth="1"/>
    <col min="3585" max="3585" width="17.375" style="3474" customWidth="1"/>
    <col min="3586" max="3587" width="9.75" style="3474" customWidth="1"/>
    <col min="3588" max="3588" width="22.625" style="3474" customWidth="1"/>
    <col min="3589" max="3589" width="18.625" style="3474" customWidth="1"/>
    <col min="3590" max="3590" width="13" style="3474" customWidth="1"/>
    <col min="3591" max="3591" width="9.5" style="3474" customWidth="1"/>
    <col min="3592" max="3592" width="7.875" style="3474" customWidth="1"/>
    <col min="3593" max="3593" width="10.25" style="3474" customWidth="1"/>
    <col min="3594" max="3594" width="6.75" style="3474" customWidth="1"/>
    <col min="3595" max="3595" width="9" style="3474" hidden="1" customWidth="1"/>
    <col min="3596" max="3597" width="6.75" style="3474" customWidth="1"/>
    <col min="3598" max="3598" width="8" style="3474" customWidth="1"/>
    <col min="3599" max="3599" width="8.875" style="3474" customWidth="1"/>
    <col min="3600" max="3600" width="11.125" style="3474" customWidth="1"/>
    <col min="3601" max="3601" width="14.5" style="3474" customWidth="1"/>
    <col min="3602" max="3602" width="8.875" style="3474" customWidth="1"/>
    <col min="3603" max="3603" width="8" style="3474" customWidth="1"/>
    <col min="3604" max="3604" width="14" style="3474" customWidth="1"/>
    <col min="3605" max="3605" width="14.375" style="3474" customWidth="1"/>
    <col min="3606" max="3611" width="9" style="3474" hidden="1" customWidth="1"/>
    <col min="3612" max="3612" width="7.5" style="3474" customWidth="1"/>
    <col min="3613" max="3613" width="10" style="3474" customWidth="1"/>
    <col min="3614" max="3838" width="9" style="3474"/>
    <col min="3839" max="3839" width="5" style="3474" customWidth="1"/>
    <col min="3840" max="3840" width="9.75" style="3474" customWidth="1"/>
    <col min="3841" max="3841" width="17.375" style="3474" customWidth="1"/>
    <col min="3842" max="3843" width="9.75" style="3474" customWidth="1"/>
    <col min="3844" max="3844" width="22.625" style="3474" customWidth="1"/>
    <col min="3845" max="3845" width="18.625" style="3474" customWidth="1"/>
    <col min="3846" max="3846" width="13" style="3474" customWidth="1"/>
    <col min="3847" max="3847" width="9.5" style="3474" customWidth="1"/>
    <col min="3848" max="3848" width="7.875" style="3474" customWidth="1"/>
    <col min="3849" max="3849" width="10.25" style="3474" customWidth="1"/>
    <col min="3850" max="3850" width="6.75" style="3474" customWidth="1"/>
    <col min="3851" max="3851" width="9" style="3474" hidden="1" customWidth="1"/>
    <col min="3852" max="3853" width="6.75" style="3474" customWidth="1"/>
    <col min="3854" max="3854" width="8" style="3474" customWidth="1"/>
    <col min="3855" max="3855" width="8.875" style="3474" customWidth="1"/>
    <col min="3856" max="3856" width="11.125" style="3474" customWidth="1"/>
    <col min="3857" max="3857" width="14.5" style="3474" customWidth="1"/>
    <col min="3858" max="3858" width="8.875" style="3474" customWidth="1"/>
    <col min="3859" max="3859" width="8" style="3474" customWidth="1"/>
    <col min="3860" max="3860" width="14" style="3474" customWidth="1"/>
    <col min="3861" max="3861" width="14.375" style="3474" customWidth="1"/>
    <col min="3862" max="3867" width="9" style="3474" hidden="1" customWidth="1"/>
    <col min="3868" max="3868" width="7.5" style="3474" customWidth="1"/>
    <col min="3869" max="3869" width="10" style="3474" customWidth="1"/>
    <col min="3870" max="4094" width="9" style="3474"/>
    <col min="4095" max="4095" width="5" style="3474" customWidth="1"/>
    <col min="4096" max="4096" width="9.75" style="3474" customWidth="1"/>
    <col min="4097" max="4097" width="17.375" style="3474" customWidth="1"/>
    <col min="4098" max="4099" width="9.75" style="3474" customWidth="1"/>
    <col min="4100" max="4100" width="22.625" style="3474" customWidth="1"/>
    <col min="4101" max="4101" width="18.625" style="3474" customWidth="1"/>
    <col min="4102" max="4102" width="13" style="3474" customWidth="1"/>
    <col min="4103" max="4103" width="9.5" style="3474" customWidth="1"/>
    <col min="4104" max="4104" width="7.875" style="3474" customWidth="1"/>
    <col min="4105" max="4105" width="10.25" style="3474" customWidth="1"/>
    <col min="4106" max="4106" width="6.75" style="3474" customWidth="1"/>
    <col min="4107" max="4107" width="9" style="3474" hidden="1" customWidth="1"/>
    <col min="4108" max="4109" width="6.75" style="3474" customWidth="1"/>
    <col min="4110" max="4110" width="8" style="3474" customWidth="1"/>
    <col min="4111" max="4111" width="8.875" style="3474" customWidth="1"/>
    <col min="4112" max="4112" width="11.125" style="3474" customWidth="1"/>
    <col min="4113" max="4113" width="14.5" style="3474" customWidth="1"/>
    <col min="4114" max="4114" width="8.875" style="3474" customWidth="1"/>
    <col min="4115" max="4115" width="8" style="3474" customWidth="1"/>
    <col min="4116" max="4116" width="14" style="3474" customWidth="1"/>
    <col min="4117" max="4117" width="14.375" style="3474" customWidth="1"/>
    <col min="4118" max="4123" width="9" style="3474" hidden="1" customWidth="1"/>
    <col min="4124" max="4124" width="7.5" style="3474" customWidth="1"/>
    <col min="4125" max="4125" width="10" style="3474" customWidth="1"/>
    <col min="4126" max="4350" width="9" style="3474"/>
    <col min="4351" max="4351" width="5" style="3474" customWidth="1"/>
    <col min="4352" max="4352" width="9.75" style="3474" customWidth="1"/>
    <col min="4353" max="4353" width="17.375" style="3474" customWidth="1"/>
    <col min="4354" max="4355" width="9.75" style="3474" customWidth="1"/>
    <col min="4356" max="4356" width="22.625" style="3474" customWidth="1"/>
    <col min="4357" max="4357" width="18.625" style="3474" customWidth="1"/>
    <col min="4358" max="4358" width="13" style="3474" customWidth="1"/>
    <col min="4359" max="4359" width="9.5" style="3474" customWidth="1"/>
    <col min="4360" max="4360" width="7.875" style="3474" customWidth="1"/>
    <col min="4361" max="4361" width="10.25" style="3474" customWidth="1"/>
    <col min="4362" max="4362" width="6.75" style="3474" customWidth="1"/>
    <col min="4363" max="4363" width="9" style="3474" hidden="1" customWidth="1"/>
    <col min="4364" max="4365" width="6.75" style="3474" customWidth="1"/>
    <col min="4366" max="4366" width="8" style="3474" customWidth="1"/>
    <col min="4367" max="4367" width="8.875" style="3474" customWidth="1"/>
    <col min="4368" max="4368" width="11.125" style="3474" customWidth="1"/>
    <col min="4369" max="4369" width="14.5" style="3474" customWidth="1"/>
    <col min="4370" max="4370" width="8.875" style="3474" customWidth="1"/>
    <col min="4371" max="4371" width="8" style="3474" customWidth="1"/>
    <col min="4372" max="4372" width="14" style="3474" customWidth="1"/>
    <col min="4373" max="4373" width="14.375" style="3474" customWidth="1"/>
    <col min="4374" max="4379" width="9" style="3474" hidden="1" customWidth="1"/>
    <col min="4380" max="4380" width="7.5" style="3474" customWidth="1"/>
    <col min="4381" max="4381" width="10" style="3474" customWidth="1"/>
    <col min="4382" max="4606" width="9" style="3474"/>
    <col min="4607" max="4607" width="5" style="3474" customWidth="1"/>
    <col min="4608" max="4608" width="9.75" style="3474" customWidth="1"/>
    <col min="4609" max="4609" width="17.375" style="3474" customWidth="1"/>
    <col min="4610" max="4611" width="9.75" style="3474" customWidth="1"/>
    <col min="4612" max="4612" width="22.625" style="3474" customWidth="1"/>
    <col min="4613" max="4613" width="18.625" style="3474" customWidth="1"/>
    <col min="4614" max="4614" width="13" style="3474" customWidth="1"/>
    <col min="4615" max="4615" width="9.5" style="3474" customWidth="1"/>
    <col min="4616" max="4616" width="7.875" style="3474" customWidth="1"/>
    <col min="4617" max="4617" width="10.25" style="3474" customWidth="1"/>
    <col min="4618" max="4618" width="6.75" style="3474" customWidth="1"/>
    <col min="4619" max="4619" width="9" style="3474" hidden="1" customWidth="1"/>
    <col min="4620" max="4621" width="6.75" style="3474" customWidth="1"/>
    <col min="4622" max="4622" width="8" style="3474" customWidth="1"/>
    <col min="4623" max="4623" width="8.875" style="3474" customWidth="1"/>
    <col min="4624" max="4624" width="11.125" style="3474" customWidth="1"/>
    <col min="4625" max="4625" width="14.5" style="3474" customWidth="1"/>
    <col min="4626" max="4626" width="8.875" style="3474" customWidth="1"/>
    <col min="4627" max="4627" width="8" style="3474" customWidth="1"/>
    <col min="4628" max="4628" width="14" style="3474" customWidth="1"/>
    <col min="4629" max="4629" width="14.375" style="3474" customWidth="1"/>
    <col min="4630" max="4635" width="9" style="3474" hidden="1" customWidth="1"/>
    <col min="4636" max="4636" width="7.5" style="3474" customWidth="1"/>
    <col min="4637" max="4637" width="10" style="3474" customWidth="1"/>
    <col min="4638" max="4862" width="9" style="3474"/>
    <col min="4863" max="4863" width="5" style="3474" customWidth="1"/>
    <col min="4864" max="4864" width="9.75" style="3474" customWidth="1"/>
    <col min="4865" max="4865" width="17.375" style="3474" customWidth="1"/>
    <col min="4866" max="4867" width="9.75" style="3474" customWidth="1"/>
    <col min="4868" max="4868" width="22.625" style="3474" customWidth="1"/>
    <col min="4869" max="4869" width="18.625" style="3474" customWidth="1"/>
    <col min="4870" max="4870" width="13" style="3474" customWidth="1"/>
    <col min="4871" max="4871" width="9.5" style="3474" customWidth="1"/>
    <col min="4872" max="4872" width="7.875" style="3474" customWidth="1"/>
    <col min="4873" max="4873" width="10.25" style="3474" customWidth="1"/>
    <col min="4874" max="4874" width="6.75" style="3474" customWidth="1"/>
    <col min="4875" max="4875" width="9" style="3474" hidden="1" customWidth="1"/>
    <col min="4876" max="4877" width="6.75" style="3474" customWidth="1"/>
    <col min="4878" max="4878" width="8" style="3474" customWidth="1"/>
    <col min="4879" max="4879" width="8.875" style="3474" customWidth="1"/>
    <col min="4880" max="4880" width="11.125" style="3474" customWidth="1"/>
    <col min="4881" max="4881" width="14.5" style="3474" customWidth="1"/>
    <col min="4882" max="4882" width="8.875" style="3474" customWidth="1"/>
    <col min="4883" max="4883" width="8" style="3474" customWidth="1"/>
    <col min="4884" max="4884" width="14" style="3474" customWidth="1"/>
    <col min="4885" max="4885" width="14.375" style="3474" customWidth="1"/>
    <col min="4886" max="4891" width="9" style="3474" hidden="1" customWidth="1"/>
    <col min="4892" max="4892" width="7.5" style="3474" customWidth="1"/>
    <col min="4893" max="4893" width="10" style="3474" customWidth="1"/>
    <col min="4894" max="5118" width="9" style="3474"/>
    <col min="5119" max="5119" width="5" style="3474" customWidth="1"/>
    <col min="5120" max="5120" width="9.75" style="3474" customWidth="1"/>
    <col min="5121" max="5121" width="17.375" style="3474" customWidth="1"/>
    <col min="5122" max="5123" width="9.75" style="3474" customWidth="1"/>
    <col min="5124" max="5124" width="22.625" style="3474" customWidth="1"/>
    <col min="5125" max="5125" width="18.625" style="3474" customWidth="1"/>
    <col min="5126" max="5126" width="13" style="3474" customWidth="1"/>
    <col min="5127" max="5127" width="9.5" style="3474" customWidth="1"/>
    <col min="5128" max="5128" width="7.875" style="3474" customWidth="1"/>
    <col min="5129" max="5129" width="10.25" style="3474" customWidth="1"/>
    <col min="5130" max="5130" width="6.75" style="3474" customWidth="1"/>
    <col min="5131" max="5131" width="9" style="3474" hidden="1" customWidth="1"/>
    <col min="5132" max="5133" width="6.75" style="3474" customWidth="1"/>
    <col min="5134" max="5134" width="8" style="3474" customWidth="1"/>
    <col min="5135" max="5135" width="8.875" style="3474" customWidth="1"/>
    <col min="5136" max="5136" width="11.125" style="3474" customWidth="1"/>
    <col min="5137" max="5137" width="14.5" style="3474" customWidth="1"/>
    <col min="5138" max="5138" width="8.875" style="3474" customWidth="1"/>
    <col min="5139" max="5139" width="8" style="3474" customWidth="1"/>
    <col min="5140" max="5140" width="14" style="3474" customWidth="1"/>
    <col min="5141" max="5141" width="14.375" style="3474" customWidth="1"/>
    <col min="5142" max="5147" width="9" style="3474" hidden="1" customWidth="1"/>
    <col min="5148" max="5148" width="7.5" style="3474" customWidth="1"/>
    <col min="5149" max="5149" width="10" style="3474" customWidth="1"/>
    <col min="5150" max="5374" width="9" style="3474"/>
    <col min="5375" max="5375" width="5" style="3474" customWidth="1"/>
    <col min="5376" max="5376" width="9.75" style="3474" customWidth="1"/>
    <col min="5377" max="5377" width="17.375" style="3474" customWidth="1"/>
    <col min="5378" max="5379" width="9.75" style="3474" customWidth="1"/>
    <col min="5380" max="5380" width="22.625" style="3474" customWidth="1"/>
    <col min="5381" max="5381" width="18.625" style="3474" customWidth="1"/>
    <col min="5382" max="5382" width="13" style="3474" customWidth="1"/>
    <col min="5383" max="5383" width="9.5" style="3474" customWidth="1"/>
    <col min="5384" max="5384" width="7.875" style="3474" customWidth="1"/>
    <col min="5385" max="5385" width="10.25" style="3474" customWidth="1"/>
    <col min="5386" max="5386" width="6.75" style="3474" customWidth="1"/>
    <col min="5387" max="5387" width="9" style="3474" hidden="1" customWidth="1"/>
    <col min="5388" max="5389" width="6.75" style="3474" customWidth="1"/>
    <col min="5390" max="5390" width="8" style="3474" customWidth="1"/>
    <col min="5391" max="5391" width="8.875" style="3474" customWidth="1"/>
    <col min="5392" max="5392" width="11.125" style="3474" customWidth="1"/>
    <col min="5393" max="5393" width="14.5" style="3474" customWidth="1"/>
    <col min="5394" max="5394" width="8.875" style="3474" customWidth="1"/>
    <col min="5395" max="5395" width="8" style="3474" customWidth="1"/>
    <col min="5396" max="5396" width="14" style="3474" customWidth="1"/>
    <col min="5397" max="5397" width="14.375" style="3474" customWidth="1"/>
    <col min="5398" max="5403" width="9" style="3474" hidden="1" customWidth="1"/>
    <col min="5404" max="5404" width="7.5" style="3474" customWidth="1"/>
    <col min="5405" max="5405" width="10" style="3474" customWidth="1"/>
    <col min="5406" max="5630" width="9" style="3474"/>
    <col min="5631" max="5631" width="5" style="3474" customWidth="1"/>
    <col min="5632" max="5632" width="9.75" style="3474" customWidth="1"/>
    <col min="5633" max="5633" width="17.375" style="3474" customWidth="1"/>
    <col min="5634" max="5635" width="9.75" style="3474" customWidth="1"/>
    <col min="5636" max="5636" width="22.625" style="3474" customWidth="1"/>
    <col min="5637" max="5637" width="18.625" style="3474" customWidth="1"/>
    <col min="5638" max="5638" width="13" style="3474" customWidth="1"/>
    <col min="5639" max="5639" width="9.5" style="3474" customWidth="1"/>
    <col min="5640" max="5640" width="7.875" style="3474" customWidth="1"/>
    <col min="5641" max="5641" width="10.25" style="3474" customWidth="1"/>
    <col min="5642" max="5642" width="6.75" style="3474" customWidth="1"/>
    <col min="5643" max="5643" width="9" style="3474" hidden="1" customWidth="1"/>
    <col min="5644" max="5645" width="6.75" style="3474" customWidth="1"/>
    <col min="5646" max="5646" width="8" style="3474" customWidth="1"/>
    <col min="5647" max="5647" width="8.875" style="3474" customWidth="1"/>
    <col min="5648" max="5648" width="11.125" style="3474" customWidth="1"/>
    <col min="5649" max="5649" width="14.5" style="3474" customWidth="1"/>
    <col min="5650" max="5650" width="8.875" style="3474" customWidth="1"/>
    <col min="5651" max="5651" width="8" style="3474" customWidth="1"/>
    <col min="5652" max="5652" width="14" style="3474" customWidth="1"/>
    <col min="5653" max="5653" width="14.375" style="3474" customWidth="1"/>
    <col min="5654" max="5659" width="9" style="3474" hidden="1" customWidth="1"/>
    <col min="5660" max="5660" width="7.5" style="3474" customWidth="1"/>
    <col min="5661" max="5661" width="10" style="3474" customWidth="1"/>
    <col min="5662" max="5886" width="9" style="3474"/>
    <col min="5887" max="5887" width="5" style="3474" customWidth="1"/>
    <col min="5888" max="5888" width="9.75" style="3474" customWidth="1"/>
    <col min="5889" max="5889" width="17.375" style="3474" customWidth="1"/>
    <col min="5890" max="5891" width="9.75" style="3474" customWidth="1"/>
    <col min="5892" max="5892" width="22.625" style="3474" customWidth="1"/>
    <col min="5893" max="5893" width="18.625" style="3474" customWidth="1"/>
    <col min="5894" max="5894" width="13" style="3474" customWidth="1"/>
    <col min="5895" max="5895" width="9.5" style="3474" customWidth="1"/>
    <col min="5896" max="5896" width="7.875" style="3474" customWidth="1"/>
    <col min="5897" max="5897" width="10.25" style="3474" customWidth="1"/>
    <col min="5898" max="5898" width="6.75" style="3474" customWidth="1"/>
    <col min="5899" max="5899" width="9" style="3474" hidden="1" customWidth="1"/>
    <col min="5900" max="5901" width="6.75" style="3474" customWidth="1"/>
    <col min="5902" max="5902" width="8" style="3474" customWidth="1"/>
    <col min="5903" max="5903" width="8.875" style="3474" customWidth="1"/>
    <col min="5904" max="5904" width="11.125" style="3474" customWidth="1"/>
    <col min="5905" max="5905" width="14.5" style="3474" customWidth="1"/>
    <col min="5906" max="5906" width="8.875" style="3474" customWidth="1"/>
    <col min="5907" max="5907" width="8" style="3474" customWidth="1"/>
    <col min="5908" max="5908" width="14" style="3474" customWidth="1"/>
    <col min="5909" max="5909" width="14.375" style="3474" customWidth="1"/>
    <col min="5910" max="5915" width="9" style="3474" hidden="1" customWidth="1"/>
    <col min="5916" max="5916" width="7.5" style="3474" customWidth="1"/>
    <col min="5917" max="5917" width="10" style="3474" customWidth="1"/>
    <col min="5918" max="6142" width="9" style="3474"/>
    <col min="6143" max="6143" width="5" style="3474" customWidth="1"/>
    <col min="6144" max="6144" width="9.75" style="3474" customWidth="1"/>
    <col min="6145" max="6145" width="17.375" style="3474" customWidth="1"/>
    <col min="6146" max="6147" width="9.75" style="3474" customWidth="1"/>
    <col min="6148" max="6148" width="22.625" style="3474" customWidth="1"/>
    <col min="6149" max="6149" width="18.625" style="3474" customWidth="1"/>
    <col min="6150" max="6150" width="13" style="3474" customWidth="1"/>
    <col min="6151" max="6151" width="9.5" style="3474" customWidth="1"/>
    <col min="6152" max="6152" width="7.875" style="3474" customWidth="1"/>
    <col min="6153" max="6153" width="10.25" style="3474" customWidth="1"/>
    <col min="6154" max="6154" width="6.75" style="3474" customWidth="1"/>
    <col min="6155" max="6155" width="9" style="3474" hidden="1" customWidth="1"/>
    <col min="6156" max="6157" width="6.75" style="3474" customWidth="1"/>
    <col min="6158" max="6158" width="8" style="3474" customWidth="1"/>
    <col min="6159" max="6159" width="8.875" style="3474" customWidth="1"/>
    <col min="6160" max="6160" width="11.125" style="3474" customWidth="1"/>
    <col min="6161" max="6161" width="14.5" style="3474" customWidth="1"/>
    <col min="6162" max="6162" width="8.875" style="3474" customWidth="1"/>
    <col min="6163" max="6163" width="8" style="3474" customWidth="1"/>
    <col min="6164" max="6164" width="14" style="3474" customWidth="1"/>
    <col min="6165" max="6165" width="14.375" style="3474" customWidth="1"/>
    <col min="6166" max="6171" width="9" style="3474" hidden="1" customWidth="1"/>
    <col min="6172" max="6172" width="7.5" style="3474" customWidth="1"/>
    <col min="6173" max="6173" width="10" style="3474" customWidth="1"/>
    <col min="6174" max="6398" width="9" style="3474"/>
    <col min="6399" max="6399" width="5" style="3474" customWidth="1"/>
    <col min="6400" max="6400" width="9.75" style="3474" customWidth="1"/>
    <col min="6401" max="6401" width="17.375" style="3474" customWidth="1"/>
    <col min="6402" max="6403" width="9.75" style="3474" customWidth="1"/>
    <col min="6404" max="6404" width="22.625" style="3474" customWidth="1"/>
    <col min="6405" max="6405" width="18.625" style="3474" customWidth="1"/>
    <col min="6406" max="6406" width="13" style="3474" customWidth="1"/>
    <col min="6407" max="6407" width="9.5" style="3474" customWidth="1"/>
    <col min="6408" max="6408" width="7.875" style="3474" customWidth="1"/>
    <col min="6409" max="6409" width="10.25" style="3474" customWidth="1"/>
    <col min="6410" max="6410" width="6.75" style="3474" customWidth="1"/>
    <col min="6411" max="6411" width="9" style="3474" hidden="1" customWidth="1"/>
    <col min="6412" max="6413" width="6.75" style="3474" customWidth="1"/>
    <col min="6414" max="6414" width="8" style="3474" customWidth="1"/>
    <col min="6415" max="6415" width="8.875" style="3474" customWidth="1"/>
    <col min="6416" max="6416" width="11.125" style="3474" customWidth="1"/>
    <col min="6417" max="6417" width="14.5" style="3474" customWidth="1"/>
    <col min="6418" max="6418" width="8.875" style="3474" customWidth="1"/>
    <col min="6419" max="6419" width="8" style="3474" customWidth="1"/>
    <col min="6420" max="6420" width="14" style="3474" customWidth="1"/>
    <col min="6421" max="6421" width="14.375" style="3474" customWidth="1"/>
    <col min="6422" max="6427" width="9" style="3474" hidden="1" customWidth="1"/>
    <col min="6428" max="6428" width="7.5" style="3474" customWidth="1"/>
    <col min="6429" max="6429" width="10" style="3474" customWidth="1"/>
    <col min="6430" max="6654" width="9" style="3474"/>
    <col min="6655" max="6655" width="5" style="3474" customWidth="1"/>
    <col min="6656" max="6656" width="9.75" style="3474" customWidth="1"/>
    <col min="6657" max="6657" width="17.375" style="3474" customWidth="1"/>
    <col min="6658" max="6659" width="9.75" style="3474" customWidth="1"/>
    <col min="6660" max="6660" width="22.625" style="3474" customWidth="1"/>
    <col min="6661" max="6661" width="18.625" style="3474" customWidth="1"/>
    <col min="6662" max="6662" width="13" style="3474" customWidth="1"/>
    <col min="6663" max="6663" width="9.5" style="3474" customWidth="1"/>
    <col min="6664" max="6664" width="7.875" style="3474" customWidth="1"/>
    <col min="6665" max="6665" width="10.25" style="3474" customWidth="1"/>
    <col min="6666" max="6666" width="6.75" style="3474" customWidth="1"/>
    <col min="6667" max="6667" width="9" style="3474" hidden="1" customWidth="1"/>
    <col min="6668" max="6669" width="6.75" style="3474" customWidth="1"/>
    <col min="6670" max="6670" width="8" style="3474" customWidth="1"/>
    <col min="6671" max="6671" width="8.875" style="3474" customWidth="1"/>
    <col min="6672" max="6672" width="11.125" style="3474" customWidth="1"/>
    <col min="6673" max="6673" width="14.5" style="3474" customWidth="1"/>
    <col min="6674" max="6674" width="8.875" style="3474" customWidth="1"/>
    <col min="6675" max="6675" width="8" style="3474" customWidth="1"/>
    <col min="6676" max="6676" width="14" style="3474" customWidth="1"/>
    <col min="6677" max="6677" width="14.375" style="3474" customWidth="1"/>
    <col min="6678" max="6683" width="9" style="3474" hidden="1" customWidth="1"/>
    <col min="6684" max="6684" width="7.5" style="3474" customWidth="1"/>
    <col min="6685" max="6685" width="10" style="3474" customWidth="1"/>
    <col min="6686" max="6910" width="9" style="3474"/>
    <col min="6911" max="6911" width="5" style="3474" customWidth="1"/>
    <col min="6912" max="6912" width="9.75" style="3474" customWidth="1"/>
    <col min="6913" max="6913" width="17.375" style="3474" customWidth="1"/>
    <col min="6914" max="6915" width="9.75" style="3474" customWidth="1"/>
    <col min="6916" max="6916" width="22.625" style="3474" customWidth="1"/>
    <col min="6917" max="6917" width="18.625" style="3474" customWidth="1"/>
    <col min="6918" max="6918" width="13" style="3474" customWidth="1"/>
    <col min="6919" max="6919" width="9.5" style="3474" customWidth="1"/>
    <col min="6920" max="6920" width="7.875" style="3474" customWidth="1"/>
    <col min="6921" max="6921" width="10.25" style="3474" customWidth="1"/>
    <col min="6922" max="6922" width="6.75" style="3474" customWidth="1"/>
    <col min="6923" max="6923" width="9" style="3474" hidden="1" customWidth="1"/>
    <col min="6924" max="6925" width="6.75" style="3474" customWidth="1"/>
    <col min="6926" max="6926" width="8" style="3474" customWidth="1"/>
    <col min="6927" max="6927" width="8.875" style="3474" customWidth="1"/>
    <col min="6928" max="6928" width="11.125" style="3474" customWidth="1"/>
    <col min="6929" max="6929" width="14.5" style="3474" customWidth="1"/>
    <col min="6930" max="6930" width="8.875" style="3474" customWidth="1"/>
    <col min="6931" max="6931" width="8" style="3474" customWidth="1"/>
    <col min="6932" max="6932" width="14" style="3474" customWidth="1"/>
    <col min="6933" max="6933" width="14.375" style="3474" customWidth="1"/>
    <col min="6934" max="6939" width="9" style="3474" hidden="1" customWidth="1"/>
    <col min="6940" max="6940" width="7.5" style="3474" customWidth="1"/>
    <col min="6941" max="6941" width="10" style="3474" customWidth="1"/>
    <col min="6942" max="7166" width="9" style="3474"/>
    <col min="7167" max="7167" width="5" style="3474" customWidth="1"/>
    <col min="7168" max="7168" width="9.75" style="3474" customWidth="1"/>
    <col min="7169" max="7169" width="17.375" style="3474" customWidth="1"/>
    <col min="7170" max="7171" width="9.75" style="3474" customWidth="1"/>
    <col min="7172" max="7172" width="22.625" style="3474" customWidth="1"/>
    <col min="7173" max="7173" width="18.625" style="3474" customWidth="1"/>
    <col min="7174" max="7174" width="13" style="3474" customWidth="1"/>
    <col min="7175" max="7175" width="9.5" style="3474" customWidth="1"/>
    <col min="7176" max="7176" width="7.875" style="3474" customWidth="1"/>
    <col min="7177" max="7177" width="10.25" style="3474" customWidth="1"/>
    <col min="7178" max="7178" width="6.75" style="3474" customWidth="1"/>
    <col min="7179" max="7179" width="9" style="3474" hidden="1" customWidth="1"/>
    <col min="7180" max="7181" width="6.75" style="3474" customWidth="1"/>
    <col min="7182" max="7182" width="8" style="3474" customWidth="1"/>
    <col min="7183" max="7183" width="8.875" style="3474" customWidth="1"/>
    <col min="7184" max="7184" width="11.125" style="3474" customWidth="1"/>
    <col min="7185" max="7185" width="14.5" style="3474" customWidth="1"/>
    <col min="7186" max="7186" width="8.875" style="3474" customWidth="1"/>
    <col min="7187" max="7187" width="8" style="3474" customWidth="1"/>
    <col min="7188" max="7188" width="14" style="3474" customWidth="1"/>
    <col min="7189" max="7189" width="14.375" style="3474" customWidth="1"/>
    <col min="7190" max="7195" width="9" style="3474" hidden="1" customWidth="1"/>
    <col min="7196" max="7196" width="7.5" style="3474" customWidth="1"/>
    <col min="7197" max="7197" width="10" style="3474" customWidth="1"/>
    <col min="7198" max="7422" width="9" style="3474"/>
    <col min="7423" max="7423" width="5" style="3474" customWidth="1"/>
    <col min="7424" max="7424" width="9.75" style="3474" customWidth="1"/>
    <col min="7425" max="7425" width="17.375" style="3474" customWidth="1"/>
    <col min="7426" max="7427" width="9.75" style="3474" customWidth="1"/>
    <col min="7428" max="7428" width="22.625" style="3474" customWidth="1"/>
    <col min="7429" max="7429" width="18.625" style="3474" customWidth="1"/>
    <col min="7430" max="7430" width="13" style="3474" customWidth="1"/>
    <col min="7431" max="7431" width="9.5" style="3474" customWidth="1"/>
    <col min="7432" max="7432" width="7.875" style="3474" customWidth="1"/>
    <col min="7433" max="7433" width="10.25" style="3474" customWidth="1"/>
    <col min="7434" max="7434" width="6.75" style="3474" customWidth="1"/>
    <col min="7435" max="7435" width="9" style="3474" hidden="1" customWidth="1"/>
    <col min="7436" max="7437" width="6.75" style="3474" customWidth="1"/>
    <col min="7438" max="7438" width="8" style="3474" customWidth="1"/>
    <col min="7439" max="7439" width="8.875" style="3474" customWidth="1"/>
    <col min="7440" max="7440" width="11.125" style="3474" customWidth="1"/>
    <col min="7441" max="7441" width="14.5" style="3474" customWidth="1"/>
    <col min="7442" max="7442" width="8.875" style="3474" customWidth="1"/>
    <col min="7443" max="7443" width="8" style="3474" customWidth="1"/>
    <col min="7444" max="7444" width="14" style="3474" customWidth="1"/>
    <col min="7445" max="7445" width="14.375" style="3474" customWidth="1"/>
    <col min="7446" max="7451" width="9" style="3474" hidden="1" customWidth="1"/>
    <col min="7452" max="7452" width="7.5" style="3474" customWidth="1"/>
    <col min="7453" max="7453" width="10" style="3474" customWidth="1"/>
    <col min="7454" max="7678" width="9" style="3474"/>
    <col min="7679" max="7679" width="5" style="3474" customWidth="1"/>
    <col min="7680" max="7680" width="9.75" style="3474" customWidth="1"/>
    <col min="7681" max="7681" width="17.375" style="3474" customWidth="1"/>
    <col min="7682" max="7683" width="9.75" style="3474" customWidth="1"/>
    <col min="7684" max="7684" width="22.625" style="3474" customWidth="1"/>
    <col min="7685" max="7685" width="18.625" style="3474" customWidth="1"/>
    <col min="7686" max="7686" width="13" style="3474" customWidth="1"/>
    <col min="7687" max="7687" width="9.5" style="3474" customWidth="1"/>
    <col min="7688" max="7688" width="7.875" style="3474" customWidth="1"/>
    <col min="7689" max="7689" width="10.25" style="3474" customWidth="1"/>
    <col min="7690" max="7690" width="6.75" style="3474" customWidth="1"/>
    <col min="7691" max="7691" width="9" style="3474" hidden="1" customWidth="1"/>
    <col min="7692" max="7693" width="6.75" style="3474" customWidth="1"/>
    <col min="7694" max="7694" width="8" style="3474" customWidth="1"/>
    <col min="7695" max="7695" width="8.875" style="3474" customWidth="1"/>
    <col min="7696" max="7696" width="11.125" style="3474" customWidth="1"/>
    <col min="7697" max="7697" width="14.5" style="3474" customWidth="1"/>
    <col min="7698" max="7698" width="8.875" style="3474" customWidth="1"/>
    <col min="7699" max="7699" width="8" style="3474" customWidth="1"/>
    <col min="7700" max="7700" width="14" style="3474" customWidth="1"/>
    <col min="7701" max="7701" width="14.375" style="3474" customWidth="1"/>
    <col min="7702" max="7707" width="9" style="3474" hidden="1" customWidth="1"/>
    <col min="7708" max="7708" width="7.5" style="3474" customWidth="1"/>
    <col min="7709" max="7709" width="10" style="3474" customWidth="1"/>
    <col min="7710" max="7934" width="9" style="3474"/>
    <col min="7935" max="7935" width="5" style="3474" customWidth="1"/>
    <col min="7936" max="7936" width="9.75" style="3474" customWidth="1"/>
    <col min="7937" max="7937" width="17.375" style="3474" customWidth="1"/>
    <col min="7938" max="7939" width="9.75" style="3474" customWidth="1"/>
    <col min="7940" max="7940" width="22.625" style="3474" customWidth="1"/>
    <col min="7941" max="7941" width="18.625" style="3474" customWidth="1"/>
    <col min="7942" max="7942" width="13" style="3474" customWidth="1"/>
    <col min="7943" max="7943" width="9.5" style="3474" customWidth="1"/>
    <col min="7944" max="7944" width="7.875" style="3474" customWidth="1"/>
    <col min="7945" max="7945" width="10.25" style="3474" customWidth="1"/>
    <col min="7946" max="7946" width="6.75" style="3474" customWidth="1"/>
    <col min="7947" max="7947" width="9" style="3474" hidden="1" customWidth="1"/>
    <col min="7948" max="7949" width="6.75" style="3474" customWidth="1"/>
    <col min="7950" max="7950" width="8" style="3474" customWidth="1"/>
    <col min="7951" max="7951" width="8.875" style="3474" customWidth="1"/>
    <col min="7952" max="7952" width="11.125" style="3474" customWidth="1"/>
    <col min="7953" max="7953" width="14.5" style="3474" customWidth="1"/>
    <col min="7954" max="7954" width="8.875" style="3474" customWidth="1"/>
    <col min="7955" max="7955" width="8" style="3474" customWidth="1"/>
    <col min="7956" max="7956" width="14" style="3474" customWidth="1"/>
    <col min="7957" max="7957" width="14.375" style="3474" customWidth="1"/>
    <col min="7958" max="7963" width="9" style="3474" hidden="1" customWidth="1"/>
    <col min="7964" max="7964" width="7.5" style="3474" customWidth="1"/>
    <col min="7965" max="7965" width="10" style="3474" customWidth="1"/>
    <col min="7966" max="8190" width="9" style="3474"/>
    <col min="8191" max="8191" width="5" style="3474" customWidth="1"/>
    <col min="8192" max="8192" width="9.75" style="3474" customWidth="1"/>
    <col min="8193" max="8193" width="17.375" style="3474" customWidth="1"/>
    <col min="8194" max="8195" width="9.75" style="3474" customWidth="1"/>
    <col min="8196" max="8196" width="22.625" style="3474" customWidth="1"/>
    <col min="8197" max="8197" width="18.625" style="3474" customWidth="1"/>
    <col min="8198" max="8198" width="13" style="3474" customWidth="1"/>
    <col min="8199" max="8199" width="9.5" style="3474" customWidth="1"/>
    <col min="8200" max="8200" width="7.875" style="3474" customWidth="1"/>
    <col min="8201" max="8201" width="10.25" style="3474" customWidth="1"/>
    <col min="8202" max="8202" width="6.75" style="3474" customWidth="1"/>
    <col min="8203" max="8203" width="9" style="3474" hidden="1" customWidth="1"/>
    <col min="8204" max="8205" width="6.75" style="3474" customWidth="1"/>
    <col min="8206" max="8206" width="8" style="3474" customWidth="1"/>
    <col min="8207" max="8207" width="8.875" style="3474" customWidth="1"/>
    <col min="8208" max="8208" width="11.125" style="3474" customWidth="1"/>
    <col min="8209" max="8209" width="14.5" style="3474" customWidth="1"/>
    <col min="8210" max="8210" width="8.875" style="3474" customWidth="1"/>
    <col min="8211" max="8211" width="8" style="3474" customWidth="1"/>
    <col min="8212" max="8212" width="14" style="3474" customWidth="1"/>
    <col min="8213" max="8213" width="14.375" style="3474" customWidth="1"/>
    <col min="8214" max="8219" width="9" style="3474" hidden="1" customWidth="1"/>
    <col min="8220" max="8220" width="7.5" style="3474" customWidth="1"/>
    <col min="8221" max="8221" width="10" style="3474" customWidth="1"/>
    <col min="8222" max="8446" width="9" style="3474"/>
    <col min="8447" max="8447" width="5" style="3474" customWidth="1"/>
    <col min="8448" max="8448" width="9.75" style="3474" customWidth="1"/>
    <col min="8449" max="8449" width="17.375" style="3474" customWidth="1"/>
    <col min="8450" max="8451" width="9.75" style="3474" customWidth="1"/>
    <col min="8452" max="8452" width="22.625" style="3474" customWidth="1"/>
    <col min="8453" max="8453" width="18.625" style="3474" customWidth="1"/>
    <col min="8454" max="8454" width="13" style="3474" customWidth="1"/>
    <col min="8455" max="8455" width="9.5" style="3474" customWidth="1"/>
    <col min="8456" max="8456" width="7.875" style="3474" customWidth="1"/>
    <col min="8457" max="8457" width="10.25" style="3474" customWidth="1"/>
    <col min="8458" max="8458" width="6.75" style="3474" customWidth="1"/>
    <col min="8459" max="8459" width="9" style="3474" hidden="1" customWidth="1"/>
    <col min="8460" max="8461" width="6.75" style="3474" customWidth="1"/>
    <col min="8462" max="8462" width="8" style="3474" customWidth="1"/>
    <col min="8463" max="8463" width="8.875" style="3474" customWidth="1"/>
    <col min="8464" max="8464" width="11.125" style="3474" customWidth="1"/>
    <col min="8465" max="8465" width="14.5" style="3474" customWidth="1"/>
    <col min="8466" max="8466" width="8.875" style="3474" customWidth="1"/>
    <col min="8467" max="8467" width="8" style="3474" customWidth="1"/>
    <col min="8468" max="8468" width="14" style="3474" customWidth="1"/>
    <col min="8469" max="8469" width="14.375" style="3474" customWidth="1"/>
    <col min="8470" max="8475" width="9" style="3474" hidden="1" customWidth="1"/>
    <col min="8476" max="8476" width="7.5" style="3474" customWidth="1"/>
    <col min="8477" max="8477" width="10" style="3474" customWidth="1"/>
    <col min="8478" max="8702" width="9" style="3474"/>
    <col min="8703" max="8703" width="5" style="3474" customWidth="1"/>
    <col min="8704" max="8704" width="9.75" style="3474" customWidth="1"/>
    <col min="8705" max="8705" width="17.375" style="3474" customWidth="1"/>
    <col min="8706" max="8707" width="9.75" style="3474" customWidth="1"/>
    <col min="8708" max="8708" width="22.625" style="3474" customWidth="1"/>
    <col min="8709" max="8709" width="18.625" style="3474" customWidth="1"/>
    <col min="8710" max="8710" width="13" style="3474" customWidth="1"/>
    <col min="8711" max="8711" width="9.5" style="3474" customWidth="1"/>
    <col min="8712" max="8712" width="7.875" style="3474" customWidth="1"/>
    <col min="8713" max="8713" width="10.25" style="3474" customWidth="1"/>
    <col min="8714" max="8714" width="6.75" style="3474" customWidth="1"/>
    <col min="8715" max="8715" width="9" style="3474" hidden="1" customWidth="1"/>
    <col min="8716" max="8717" width="6.75" style="3474" customWidth="1"/>
    <col min="8718" max="8718" width="8" style="3474" customWidth="1"/>
    <col min="8719" max="8719" width="8.875" style="3474" customWidth="1"/>
    <col min="8720" max="8720" width="11.125" style="3474" customWidth="1"/>
    <col min="8721" max="8721" width="14.5" style="3474" customWidth="1"/>
    <col min="8722" max="8722" width="8.875" style="3474" customWidth="1"/>
    <col min="8723" max="8723" width="8" style="3474" customWidth="1"/>
    <col min="8724" max="8724" width="14" style="3474" customWidth="1"/>
    <col min="8725" max="8725" width="14.375" style="3474" customWidth="1"/>
    <col min="8726" max="8731" width="9" style="3474" hidden="1" customWidth="1"/>
    <col min="8732" max="8732" width="7.5" style="3474" customWidth="1"/>
    <col min="8733" max="8733" width="10" style="3474" customWidth="1"/>
    <col min="8734" max="8958" width="9" style="3474"/>
    <col min="8959" max="8959" width="5" style="3474" customWidth="1"/>
    <col min="8960" max="8960" width="9.75" style="3474" customWidth="1"/>
    <col min="8961" max="8961" width="17.375" style="3474" customWidth="1"/>
    <col min="8962" max="8963" width="9.75" style="3474" customWidth="1"/>
    <col min="8964" max="8964" width="22.625" style="3474" customWidth="1"/>
    <col min="8965" max="8965" width="18.625" style="3474" customWidth="1"/>
    <col min="8966" max="8966" width="13" style="3474" customWidth="1"/>
    <col min="8967" max="8967" width="9.5" style="3474" customWidth="1"/>
    <col min="8968" max="8968" width="7.875" style="3474" customWidth="1"/>
    <col min="8969" max="8969" width="10.25" style="3474" customWidth="1"/>
    <col min="8970" max="8970" width="6.75" style="3474" customWidth="1"/>
    <col min="8971" max="8971" width="9" style="3474" hidden="1" customWidth="1"/>
    <col min="8972" max="8973" width="6.75" style="3474" customWidth="1"/>
    <col min="8974" max="8974" width="8" style="3474" customWidth="1"/>
    <col min="8975" max="8975" width="8.875" style="3474" customWidth="1"/>
    <col min="8976" max="8976" width="11.125" style="3474" customWidth="1"/>
    <col min="8977" max="8977" width="14.5" style="3474" customWidth="1"/>
    <col min="8978" max="8978" width="8.875" style="3474" customWidth="1"/>
    <col min="8979" max="8979" width="8" style="3474" customWidth="1"/>
    <col min="8980" max="8980" width="14" style="3474" customWidth="1"/>
    <col min="8981" max="8981" width="14.375" style="3474" customWidth="1"/>
    <col min="8982" max="8987" width="9" style="3474" hidden="1" customWidth="1"/>
    <col min="8988" max="8988" width="7.5" style="3474" customWidth="1"/>
    <col min="8989" max="8989" width="10" style="3474" customWidth="1"/>
    <col min="8990" max="9214" width="9" style="3474"/>
    <col min="9215" max="9215" width="5" style="3474" customWidth="1"/>
    <col min="9216" max="9216" width="9.75" style="3474" customWidth="1"/>
    <col min="9217" max="9217" width="17.375" style="3474" customWidth="1"/>
    <col min="9218" max="9219" width="9.75" style="3474" customWidth="1"/>
    <col min="9220" max="9220" width="22.625" style="3474" customWidth="1"/>
    <col min="9221" max="9221" width="18.625" style="3474" customWidth="1"/>
    <col min="9222" max="9222" width="13" style="3474" customWidth="1"/>
    <col min="9223" max="9223" width="9.5" style="3474" customWidth="1"/>
    <col min="9224" max="9224" width="7.875" style="3474" customWidth="1"/>
    <col min="9225" max="9225" width="10.25" style="3474" customWidth="1"/>
    <col min="9226" max="9226" width="6.75" style="3474" customWidth="1"/>
    <col min="9227" max="9227" width="9" style="3474" hidden="1" customWidth="1"/>
    <col min="9228" max="9229" width="6.75" style="3474" customWidth="1"/>
    <col min="9230" max="9230" width="8" style="3474" customWidth="1"/>
    <col min="9231" max="9231" width="8.875" style="3474" customWidth="1"/>
    <col min="9232" max="9232" width="11.125" style="3474" customWidth="1"/>
    <col min="9233" max="9233" width="14.5" style="3474" customWidth="1"/>
    <col min="9234" max="9234" width="8.875" style="3474" customWidth="1"/>
    <col min="9235" max="9235" width="8" style="3474" customWidth="1"/>
    <col min="9236" max="9236" width="14" style="3474" customWidth="1"/>
    <col min="9237" max="9237" width="14.375" style="3474" customWidth="1"/>
    <col min="9238" max="9243" width="9" style="3474" hidden="1" customWidth="1"/>
    <col min="9244" max="9244" width="7.5" style="3474" customWidth="1"/>
    <col min="9245" max="9245" width="10" style="3474" customWidth="1"/>
    <col min="9246" max="9470" width="9" style="3474"/>
    <col min="9471" max="9471" width="5" style="3474" customWidth="1"/>
    <col min="9472" max="9472" width="9.75" style="3474" customWidth="1"/>
    <col min="9473" max="9473" width="17.375" style="3474" customWidth="1"/>
    <col min="9474" max="9475" width="9.75" style="3474" customWidth="1"/>
    <col min="9476" max="9476" width="22.625" style="3474" customWidth="1"/>
    <col min="9477" max="9477" width="18.625" style="3474" customWidth="1"/>
    <col min="9478" max="9478" width="13" style="3474" customWidth="1"/>
    <col min="9479" max="9479" width="9.5" style="3474" customWidth="1"/>
    <col min="9480" max="9480" width="7.875" style="3474" customWidth="1"/>
    <col min="9481" max="9481" width="10.25" style="3474" customWidth="1"/>
    <col min="9482" max="9482" width="6.75" style="3474" customWidth="1"/>
    <col min="9483" max="9483" width="9" style="3474" hidden="1" customWidth="1"/>
    <col min="9484" max="9485" width="6.75" style="3474" customWidth="1"/>
    <col min="9486" max="9486" width="8" style="3474" customWidth="1"/>
    <col min="9487" max="9487" width="8.875" style="3474" customWidth="1"/>
    <col min="9488" max="9488" width="11.125" style="3474" customWidth="1"/>
    <col min="9489" max="9489" width="14.5" style="3474" customWidth="1"/>
    <col min="9490" max="9490" width="8.875" style="3474" customWidth="1"/>
    <col min="9491" max="9491" width="8" style="3474" customWidth="1"/>
    <col min="9492" max="9492" width="14" style="3474" customWidth="1"/>
    <col min="9493" max="9493" width="14.375" style="3474" customWidth="1"/>
    <col min="9494" max="9499" width="9" style="3474" hidden="1" customWidth="1"/>
    <col min="9500" max="9500" width="7.5" style="3474" customWidth="1"/>
    <col min="9501" max="9501" width="10" style="3474" customWidth="1"/>
    <col min="9502" max="9726" width="9" style="3474"/>
    <col min="9727" max="9727" width="5" style="3474" customWidth="1"/>
    <col min="9728" max="9728" width="9.75" style="3474" customWidth="1"/>
    <col min="9729" max="9729" width="17.375" style="3474" customWidth="1"/>
    <col min="9730" max="9731" width="9.75" style="3474" customWidth="1"/>
    <col min="9732" max="9732" width="22.625" style="3474" customWidth="1"/>
    <col min="9733" max="9733" width="18.625" style="3474" customWidth="1"/>
    <col min="9734" max="9734" width="13" style="3474" customWidth="1"/>
    <col min="9735" max="9735" width="9.5" style="3474" customWidth="1"/>
    <col min="9736" max="9736" width="7.875" style="3474" customWidth="1"/>
    <col min="9737" max="9737" width="10.25" style="3474" customWidth="1"/>
    <col min="9738" max="9738" width="6.75" style="3474" customWidth="1"/>
    <col min="9739" max="9739" width="9" style="3474" hidden="1" customWidth="1"/>
    <col min="9740" max="9741" width="6.75" style="3474" customWidth="1"/>
    <col min="9742" max="9742" width="8" style="3474" customWidth="1"/>
    <col min="9743" max="9743" width="8.875" style="3474" customWidth="1"/>
    <col min="9744" max="9744" width="11.125" style="3474" customWidth="1"/>
    <col min="9745" max="9745" width="14.5" style="3474" customWidth="1"/>
    <col min="9746" max="9746" width="8.875" style="3474" customWidth="1"/>
    <col min="9747" max="9747" width="8" style="3474" customWidth="1"/>
    <col min="9748" max="9748" width="14" style="3474" customWidth="1"/>
    <col min="9749" max="9749" width="14.375" style="3474" customWidth="1"/>
    <col min="9750" max="9755" width="9" style="3474" hidden="1" customWidth="1"/>
    <col min="9756" max="9756" width="7.5" style="3474" customWidth="1"/>
    <col min="9757" max="9757" width="10" style="3474" customWidth="1"/>
    <col min="9758" max="9982" width="9" style="3474"/>
    <col min="9983" max="9983" width="5" style="3474" customWidth="1"/>
    <col min="9984" max="9984" width="9.75" style="3474" customWidth="1"/>
    <col min="9985" max="9985" width="17.375" style="3474" customWidth="1"/>
    <col min="9986" max="9987" width="9.75" style="3474" customWidth="1"/>
    <col min="9988" max="9988" width="22.625" style="3474" customWidth="1"/>
    <col min="9989" max="9989" width="18.625" style="3474" customWidth="1"/>
    <col min="9990" max="9990" width="13" style="3474" customWidth="1"/>
    <col min="9991" max="9991" width="9.5" style="3474" customWidth="1"/>
    <col min="9992" max="9992" width="7.875" style="3474" customWidth="1"/>
    <col min="9993" max="9993" width="10.25" style="3474" customWidth="1"/>
    <col min="9994" max="9994" width="6.75" style="3474" customWidth="1"/>
    <col min="9995" max="9995" width="9" style="3474" hidden="1" customWidth="1"/>
    <col min="9996" max="9997" width="6.75" style="3474" customWidth="1"/>
    <col min="9998" max="9998" width="8" style="3474" customWidth="1"/>
    <col min="9999" max="9999" width="8.875" style="3474" customWidth="1"/>
    <col min="10000" max="10000" width="11.125" style="3474" customWidth="1"/>
    <col min="10001" max="10001" width="14.5" style="3474" customWidth="1"/>
    <col min="10002" max="10002" width="8.875" style="3474" customWidth="1"/>
    <col min="10003" max="10003" width="8" style="3474" customWidth="1"/>
    <col min="10004" max="10004" width="14" style="3474" customWidth="1"/>
    <col min="10005" max="10005" width="14.375" style="3474" customWidth="1"/>
    <col min="10006" max="10011" width="9" style="3474" hidden="1" customWidth="1"/>
    <col min="10012" max="10012" width="7.5" style="3474" customWidth="1"/>
    <col min="10013" max="10013" width="10" style="3474" customWidth="1"/>
    <col min="10014" max="10238" width="9" style="3474"/>
    <col min="10239" max="10239" width="5" style="3474" customWidth="1"/>
    <col min="10240" max="10240" width="9.75" style="3474" customWidth="1"/>
    <col min="10241" max="10241" width="17.375" style="3474" customWidth="1"/>
    <col min="10242" max="10243" width="9.75" style="3474" customWidth="1"/>
    <col min="10244" max="10244" width="22.625" style="3474" customWidth="1"/>
    <col min="10245" max="10245" width="18.625" style="3474" customWidth="1"/>
    <col min="10246" max="10246" width="13" style="3474" customWidth="1"/>
    <col min="10247" max="10247" width="9.5" style="3474" customWidth="1"/>
    <col min="10248" max="10248" width="7.875" style="3474" customWidth="1"/>
    <col min="10249" max="10249" width="10.25" style="3474" customWidth="1"/>
    <col min="10250" max="10250" width="6.75" style="3474" customWidth="1"/>
    <col min="10251" max="10251" width="9" style="3474" hidden="1" customWidth="1"/>
    <col min="10252" max="10253" width="6.75" style="3474" customWidth="1"/>
    <col min="10254" max="10254" width="8" style="3474" customWidth="1"/>
    <col min="10255" max="10255" width="8.875" style="3474" customWidth="1"/>
    <col min="10256" max="10256" width="11.125" style="3474" customWidth="1"/>
    <col min="10257" max="10257" width="14.5" style="3474" customWidth="1"/>
    <col min="10258" max="10258" width="8.875" style="3474" customWidth="1"/>
    <col min="10259" max="10259" width="8" style="3474" customWidth="1"/>
    <col min="10260" max="10260" width="14" style="3474" customWidth="1"/>
    <col min="10261" max="10261" width="14.375" style="3474" customWidth="1"/>
    <col min="10262" max="10267" width="9" style="3474" hidden="1" customWidth="1"/>
    <col min="10268" max="10268" width="7.5" style="3474" customWidth="1"/>
    <col min="10269" max="10269" width="10" style="3474" customWidth="1"/>
    <col min="10270" max="10494" width="9" style="3474"/>
    <col min="10495" max="10495" width="5" style="3474" customWidth="1"/>
    <col min="10496" max="10496" width="9.75" style="3474" customWidth="1"/>
    <col min="10497" max="10497" width="17.375" style="3474" customWidth="1"/>
    <col min="10498" max="10499" width="9.75" style="3474" customWidth="1"/>
    <col min="10500" max="10500" width="22.625" style="3474" customWidth="1"/>
    <col min="10501" max="10501" width="18.625" style="3474" customWidth="1"/>
    <col min="10502" max="10502" width="13" style="3474" customWidth="1"/>
    <col min="10503" max="10503" width="9.5" style="3474" customWidth="1"/>
    <col min="10504" max="10504" width="7.875" style="3474" customWidth="1"/>
    <col min="10505" max="10505" width="10.25" style="3474" customWidth="1"/>
    <col min="10506" max="10506" width="6.75" style="3474" customWidth="1"/>
    <col min="10507" max="10507" width="9" style="3474" hidden="1" customWidth="1"/>
    <col min="10508" max="10509" width="6.75" style="3474" customWidth="1"/>
    <col min="10510" max="10510" width="8" style="3474" customWidth="1"/>
    <col min="10511" max="10511" width="8.875" style="3474" customWidth="1"/>
    <col min="10512" max="10512" width="11.125" style="3474" customWidth="1"/>
    <col min="10513" max="10513" width="14.5" style="3474" customWidth="1"/>
    <col min="10514" max="10514" width="8.875" style="3474" customWidth="1"/>
    <col min="10515" max="10515" width="8" style="3474" customWidth="1"/>
    <col min="10516" max="10516" width="14" style="3474" customWidth="1"/>
    <col min="10517" max="10517" width="14.375" style="3474" customWidth="1"/>
    <col min="10518" max="10523" width="9" style="3474" hidden="1" customWidth="1"/>
    <col min="10524" max="10524" width="7.5" style="3474" customWidth="1"/>
    <col min="10525" max="10525" width="10" style="3474" customWidth="1"/>
    <col min="10526" max="10750" width="9" style="3474"/>
    <col min="10751" max="10751" width="5" style="3474" customWidth="1"/>
    <col min="10752" max="10752" width="9.75" style="3474" customWidth="1"/>
    <col min="10753" max="10753" width="17.375" style="3474" customWidth="1"/>
    <col min="10754" max="10755" width="9.75" style="3474" customWidth="1"/>
    <col min="10756" max="10756" width="22.625" style="3474" customWidth="1"/>
    <col min="10757" max="10757" width="18.625" style="3474" customWidth="1"/>
    <col min="10758" max="10758" width="13" style="3474" customWidth="1"/>
    <col min="10759" max="10759" width="9.5" style="3474" customWidth="1"/>
    <col min="10760" max="10760" width="7.875" style="3474" customWidth="1"/>
    <col min="10761" max="10761" width="10.25" style="3474" customWidth="1"/>
    <col min="10762" max="10762" width="6.75" style="3474" customWidth="1"/>
    <col min="10763" max="10763" width="9" style="3474" hidden="1" customWidth="1"/>
    <col min="10764" max="10765" width="6.75" style="3474" customWidth="1"/>
    <col min="10766" max="10766" width="8" style="3474" customWidth="1"/>
    <col min="10767" max="10767" width="8.875" style="3474" customWidth="1"/>
    <col min="10768" max="10768" width="11.125" style="3474" customWidth="1"/>
    <col min="10769" max="10769" width="14.5" style="3474" customWidth="1"/>
    <col min="10770" max="10770" width="8.875" style="3474" customWidth="1"/>
    <col min="10771" max="10771" width="8" style="3474" customWidth="1"/>
    <col min="10772" max="10772" width="14" style="3474" customWidth="1"/>
    <col min="10773" max="10773" width="14.375" style="3474" customWidth="1"/>
    <col min="10774" max="10779" width="9" style="3474" hidden="1" customWidth="1"/>
    <col min="10780" max="10780" width="7.5" style="3474" customWidth="1"/>
    <col min="10781" max="10781" width="10" style="3474" customWidth="1"/>
    <col min="10782" max="11006" width="9" style="3474"/>
    <col min="11007" max="11007" width="5" style="3474" customWidth="1"/>
    <col min="11008" max="11008" width="9.75" style="3474" customWidth="1"/>
    <col min="11009" max="11009" width="17.375" style="3474" customWidth="1"/>
    <col min="11010" max="11011" width="9.75" style="3474" customWidth="1"/>
    <col min="11012" max="11012" width="22.625" style="3474" customWidth="1"/>
    <col min="11013" max="11013" width="18.625" style="3474" customWidth="1"/>
    <col min="11014" max="11014" width="13" style="3474" customWidth="1"/>
    <col min="11015" max="11015" width="9.5" style="3474" customWidth="1"/>
    <col min="11016" max="11016" width="7.875" style="3474" customWidth="1"/>
    <col min="11017" max="11017" width="10.25" style="3474" customWidth="1"/>
    <col min="11018" max="11018" width="6.75" style="3474" customWidth="1"/>
    <col min="11019" max="11019" width="9" style="3474" hidden="1" customWidth="1"/>
    <col min="11020" max="11021" width="6.75" style="3474" customWidth="1"/>
    <col min="11022" max="11022" width="8" style="3474" customWidth="1"/>
    <col min="11023" max="11023" width="8.875" style="3474" customWidth="1"/>
    <col min="11024" max="11024" width="11.125" style="3474" customWidth="1"/>
    <col min="11025" max="11025" width="14.5" style="3474" customWidth="1"/>
    <col min="11026" max="11026" width="8.875" style="3474" customWidth="1"/>
    <col min="11027" max="11027" width="8" style="3474" customWidth="1"/>
    <col min="11028" max="11028" width="14" style="3474" customWidth="1"/>
    <col min="11029" max="11029" width="14.375" style="3474" customWidth="1"/>
    <col min="11030" max="11035" width="9" style="3474" hidden="1" customWidth="1"/>
    <col min="11036" max="11036" width="7.5" style="3474" customWidth="1"/>
    <col min="11037" max="11037" width="10" style="3474" customWidth="1"/>
    <col min="11038" max="11262" width="9" style="3474"/>
    <col min="11263" max="11263" width="5" style="3474" customWidth="1"/>
    <col min="11264" max="11264" width="9.75" style="3474" customWidth="1"/>
    <col min="11265" max="11265" width="17.375" style="3474" customWidth="1"/>
    <col min="11266" max="11267" width="9.75" style="3474" customWidth="1"/>
    <col min="11268" max="11268" width="22.625" style="3474" customWidth="1"/>
    <col min="11269" max="11269" width="18.625" style="3474" customWidth="1"/>
    <col min="11270" max="11270" width="13" style="3474" customWidth="1"/>
    <col min="11271" max="11271" width="9.5" style="3474" customWidth="1"/>
    <col min="11272" max="11272" width="7.875" style="3474" customWidth="1"/>
    <col min="11273" max="11273" width="10.25" style="3474" customWidth="1"/>
    <col min="11274" max="11274" width="6.75" style="3474" customWidth="1"/>
    <col min="11275" max="11275" width="9" style="3474" hidden="1" customWidth="1"/>
    <col min="11276" max="11277" width="6.75" style="3474" customWidth="1"/>
    <col min="11278" max="11278" width="8" style="3474" customWidth="1"/>
    <col min="11279" max="11279" width="8.875" style="3474" customWidth="1"/>
    <col min="11280" max="11280" width="11.125" style="3474" customWidth="1"/>
    <col min="11281" max="11281" width="14.5" style="3474" customWidth="1"/>
    <col min="11282" max="11282" width="8.875" style="3474" customWidth="1"/>
    <col min="11283" max="11283" width="8" style="3474" customWidth="1"/>
    <col min="11284" max="11284" width="14" style="3474" customWidth="1"/>
    <col min="11285" max="11285" width="14.375" style="3474" customWidth="1"/>
    <col min="11286" max="11291" width="9" style="3474" hidden="1" customWidth="1"/>
    <col min="11292" max="11292" width="7.5" style="3474" customWidth="1"/>
    <col min="11293" max="11293" width="10" style="3474" customWidth="1"/>
    <col min="11294" max="11518" width="9" style="3474"/>
    <col min="11519" max="11519" width="5" style="3474" customWidth="1"/>
    <col min="11520" max="11520" width="9.75" style="3474" customWidth="1"/>
    <col min="11521" max="11521" width="17.375" style="3474" customWidth="1"/>
    <col min="11522" max="11523" width="9.75" style="3474" customWidth="1"/>
    <col min="11524" max="11524" width="22.625" style="3474" customWidth="1"/>
    <col min="11525" max="11525" width="18.625" style="3474" customWidth="1"/>
    <col min="11526" max="11526" width="13" style="3474" customWidth="1"/>
    <col min="11527" max="11527" width="9.5" style="3474" customWidth="1"/>
    <col min="11528" max="11528" width="7.875" style="3474" customWidth="1"/>
    <col min="11529" max="11529" width="10.25" style="3474" customWidth="1"/>
    <col min="11530" max="11530" width="6.75" style="3474" customWidth="1"/>
    <col min="11531" max="11531" width="9" style="3474" hidden="1" customWidth="1"/>
    <col min="11532" max="11533" width="6.75" style="3474" customWidth="1"/>
    <col min="11534" max="11534" width="8" style="3474" customWidth="1"/>
    <col min="11535" max="11535" width="8.875" style="3474" customWidth="1"/>
    <col min="11536" max="11536" width="11.125" style="3474" customWidth="1"/>
    <col min="11537" max="11537" width="14.5" style="3474" customWidth="1"/>
    <col min="11538" max="11538" width="8.875" style="3474" customWidth="1"/>
    <col min="11539" max="11539" width="8" style="3474" customWidth="1"/>
    <col min="11540" max="11540" width="14" style="3474" customWidth="1"/>
    <col min="11541" max="11541" width="14.375" style="3474" customWidth="1"/>
    <col min="11542" max="11547" width="9" style="3474" hidden="1" customWidth="1"/>
    <col min="11548" max="11548" width="7.5" style="3474" customWidth="1"/>
    <col min="11549" max="11549" width="10" style="3474" customWidth="1"/>
    <col min="11550" max="11774" width="9" style="3474"/>
    <col min="11775" max="11775" width="5" style="3474" customWidth="1"/>
    <col min="11776" max="11776" width="9.75" style="3474" customWidth="1"/>
    <col min="11777" max="11777" width="17.375" style="3474" customWidth="1"/>
    <col min="11778" max="11779" width="9.75" style="3474" customWidth="1"/>
    <col min="11780" max="11780" width="22.625" style="3474" customWidth="1"/>
    <col min="11781" max="11781" width="18.625" style="3474" customWidth="1"/>
    <col min="11782" max="11782" width="13" style="3474" customWidth="1"/>
    <col min="11783" max="11783" width="9.5" style="3474" customWidth="1"/>
    <col min="11784" max="11784" width="7.875" style="3474" customWidth="1"/>
    <col min="11785" max="11785" width="10.25" style="3474" customWidth="1"/>
    <col min="11786" max="11786" width="6.75" style="3474" customWidth="1"/>
    <col min="11787" max="11787" width="9" style="3474" hidden="1" customWidth="1"/>
    <col min="11788" max="11789" width="6.75" style="3474" customWidth="1"/>
    <col min="11790" max="11790" width="8" style="3474" customWidth="1"/>
    <col min="11791" max="11791" width="8.875" style="3474" customWidth="1"/>
    <col min="11792" max="11792" width="11.125" style="3474" customWidth="1"/>
    <col min="11793" max="11793" width="14.5" style="3474" customWidth="1"/>
    <col min="11794" max="11794" width="8.875" style="3474" customWidth="1"/>
    <col min="11795" max="11795" width="8" style="3474" customWidth="1"/>
    <col min="11796" max="11796" width="14" style="3474" customWidth="1"/>
    <col min="11797" max="11797" width="14.375" style="3474" customWidth="1"/>
    <col min="11798" max="11803" width="9" style="3474" hidden="1" customWidth="1"/>
    <col min="11804" max="11804" width="7.5" style="3474" customWidth="1"/>
    <col min="11805" max="11805" width="10" style="3474" customWidth="1"/>
    <col min="11806" max="12030" width="9" style="3474"/>
    <col min="12031" max="12031" width="5" style="3474" customWidth="1"/>
    <col min="12032" max="12032" width="9.75" style="3474" customWidth="1"/>
    <col min="12033" max="12033" width="17.375" style="3474" customWidth="1"/>
    <col min="12034" max="12035" width="9.75" style="3474" customWidth="1"/>
    <col min="12036" max="12036" width="22.625" style="3474" customWidth="1"/>
    <col min="12037" max="12037" width="18.625" style="3474" customWidth="1"/>
    <col min="12038" max="12038" width="13" style="3474" customWidth="1"/>
    <col min="12039" max="12039" width="9.5" style="3474" customWidth="1"/>
    <col min="12040" max="12040" width="7.875" style="3474" customWidth="1"/>
    <col min="12041" max="12041" width="10.25" style="3474" customWidth="1"/>
    <col min="12042" max="12042" width="6.75" style="3474" customWidth="1"/>
    <col min="12043" max="12043" width="9" style="3474" hidden="1" customWidth="1"/>
    <col min="12044" max="12045" width="6.75" style="3474" customWidth="1"/>
    <col min="12046" max="12046" width="8" style="3474" customWidth="1"/>
    <col min="12047" max="12047" width="8.875" style="3474" customWidth="1"/>
    <col min="12048" max="12048" width="11.125" style="3474" customWidth="1"/>
    <col min="12049" max="12049" width="14.5" style="3474" customWidth="1"/>
    <col min="12050" max="12050" width="8.875" style="3474" customWidth="1"/>
    <col min="12051" max="12051" width="8" style="3474" customWidth="1"/>
    <col min="12052" max="12052" width="14" style="3474" customWidth="1"/>
    <col min="12053" max="12053" width="14.375" style="3474" customWidth="1"/>
    <col min="12054" max="12059" width="9" style="3474" hidden="1" customWidth="1"/>
    <col min="12060" max="12060" width="7.5" style="3474" customWidth="1"/>
    <col min="12061" max="12061" width="10" style="3474" customWidth="1"/>
    <col min="12062" max="12286" width="9" style="3474"/>
    <col min="12287" max="12287" width="5" style="3474" customWidth="1"/>
    <col min="12288" max="12288" width="9.75" style="3474" customWidth="1"/>
    <col min="12289" max="12289" width="17.375" style="3474" customWidth="1"/>
    <col min="12290" max="12291" width="9.75" style="3474" customWidth="1"/>
    <col min="12292" max="12292" width="22.625" style="3474" customWidth="1"/>
    <col min="12293" max="12293" width="18.625" style="3474" customWidth="1"/>
    <col min="12294" max="12294" width="13" style="3474" customWidth="1"/>
    <col min="12295" max="12295" width="9.5" style="3474" customWidth="1"/>
    <col min="12296" max="12296" width="7.875" style="3474" customWidth="1"/>
    <col min="12297" max="12297" width="10.25" style="3474" customWidth="1"/>
    <col min="12298" max="12298" width="6.75" style="3474" customWidth="1"/>
    <col min="12299" max="12299" width="9" style="3474" hidden="1" customWidth="1"/>
    <col min="12300" max="12301" width="6.75" style="3474" customWidth="1"/>
    <col min="12302" max="12302" width="8" style="3474" customWidth="1"/>
    <col min="12303" max="12303" width="8.875" style="3474" customWidth="1"/>
    <col min="12304" max="12304" width="11.125" style="3474" customWidth="1"/>
    <col min="12305" max="12305" width="14.5" style="3474" customWidth="1"/>
    <col min="12306" max="12306" width="8.875" style="3474" customWidth="1"/>
    <col min="12307" max="12307" width="8" style="3474" customWidth="1"/>
    <col min="12308" max="12308" width="14" style="3474" customWidth="1"/>
    <col min="12309" max="12309" width="14.375" style="3474" customWidth="1"/>
    <col min="12310" max="12315" width="9" style="3474" hidden="1" customWidth="1"/>
    <col min="12316" max="12316" width="7.5" style="3474" customWidth="1"/>
    <col min="12317" max="12317" width="10" style="3474" customWidth="1"/>
    <col min="12318" max="12542" width="9" style="3474"/>
    <col min="12543" max="12543" width="5" style="3474" customWidth="1"/>
    <col min="12544" max="12544" width="9.75" style="3474" customWidth="1"/>
    <col min="12545" max="12545" width="17.375" style="3474" customWidth="1"/>
    <col min="12546" max="12547" width="9.75" style="3474" customWidth="1"/>
    <col min="12548" max="12548" width="22.625" style="3474" customWidth="1"/>
    <col min="12549" max="12549" width="18.625" style="3474" customWidth="1"/>
    <col min="12550" max="12550" width="13" style="3474" customWidth="1"/>
    <col min="12551" max="12551" width="9.5" style="3474" customWidth="1"/>
    <col min="12552" max="12552" width="7.875" style="3474" customWidth="1"/>
    <col min="12553" max="12553" width="10.25" style="3474" customWidth="1"/>
    <col min="12554" max="12554" width="6.75" style="3474" customWidth="1"/>
    <col min="12555" max="12555" width="9" style="3474" hidden="1" customWidth="1"/>
    <col min="12556" max="12557" width="6.75" style="3474" customWidth="1"/>
    <col min="12558" max="12558" width="8" style="3474" customWidth="1"/>
    <col min="12559" max="12559" width="8.875" style="3474" customWidth="1"/>
    <col min="12560" max="12560" width="11.125" style="3474" customWidth="1"/>
    <col min="12561" max="12561" width="14.5" style="3474" customWidth="1"/>
    <col min="12562" max="12562" width="8.875" style="3474" customWidth="1"/>
    <col min="12563" max="12563" width="8" style="3474" customWidth="1"/>
    <col min="12564" max="12564" width="14" style="3474" customWidth="1"/>
    <col min="12565" max="12565" width="14.375" style="3474" customWidth="1"/>
    <col min="12566" max="12571" width="9" style="3474" hidden="1" customWidth="1"/>
    <col min="12572" max="12572" width="7.5" style="3474" customWidth="1"/>
    <col min="12573" max="12573" width="10" style="3474" customWidth="1"/>
    <col min="12574" max="12798" width="9" style="3474"/>
    <col min="12799" max="12799" width="5" style="3474" customWidth="1"/>
    <col min="12800" max="12800" width="9.75" style="3474" customWidth="1"/>
    <col min="12801" max="12801" width="17.375" style="3474" customWidth="1"/>
    <col min="12802" max="12803" width="9.75" style="3474" customWidth="1"/>
    <col min="12804" max="12804" width="22.625" style="3474" customWidth="1"/>
    <col min="12805" max="12805" width="18.625" style="3474" customWidth="1"/>
    <col min="12806" max="12806" width="13" style="3474" customWidth="1"/>
    <col min="12807" max="12807" width="9.5" style="3474" customWidth="1"/>
    <col min="12808" max="12808" width="7.875" style="3474" customWidth="1"/>
    <col min="12809" max="12809" width="10.25" style="3474" customWidth="1"/>
    <col min="12810" max="12810" width="6.75" style="3474" customWidth="1"/>
    <col min="12811" max="12811" width="9" style="3474" hidden="1" customWidth="1"/>
    <col min="12812" max="12813" width="6.75" style="3474" customWidth="1"/>
    <col min="12814" max="12814" width="8" style="3474" customWidth="1"/>
    <col min="12815" max="12815" width="8.875" style="3474" customWidth="1"/>
    <col min="12816" max="12816" width="11.125" style="3474" customWidth="1"/>
    <col min="12817" max="12817" width="14.5" style="3474" customWidth="1"/>
    <col min="12818" max="12818" width="8.875" style="3474" customWidth="1"/>
    <col min="12819" max="12819" width="8" style="3474" customWidth="1"/>
    <col min="12820" max="12820" width="14" style="3474" customWidth="1"/>
    <col min="12821" max="12821" width="14.375" style="3474" customWidth="1"/>
    <col min="12822" max="12827" width="9" style="3474" hidden="1" customWidth="1"/>
    <col min="12828" max="12828" width="7.5" style="3474" customWidth="1"/>
    <col min="12829" max="12829" width="10" style="3474" customWidth="1"/>
    <col min="12830" max="13054" width="9" style="3474"/>
    <col min="13055" max="13055" width="5" style="3474" customWidth="1"/>
    <col min="13056" max="13056" width="9.75" style="3474" customWidth="1"/>
    <col min="13057" max="13057" width="17.375" style="3474" customWidth="1"/>
    <col min="13058" max="13059" width="9.75" style="3474" customWidth="1"/>
    <col min="13060" max="13060" width="22.625" style="3474" customWidth="1"/>
    <col min="13061" max="13061" width="18.625" style="3474" customWidth="1"/>
    <col min="13062" max="13062" width="13" style="3474" customWidth="1"/>
    <col min="13063" max="13063" width="9.5" style="3474" customWidth="1"/>
    <col min="13064" max="13064" width="7.875" style="3474" customWidth="1"/>
    <col min="13065" max="13065" width="10.25" style="3474" customWidth="1"/>
    <col min="13066" max="13066" width="6.75" style="3474" customWidth="1"/>
    <col min="13067" max="13067" width="9" style="3474" hidden="1" customWidth="1"/>
    <col min="13068" max="13069" width="6.75" style="3474" customWidth="1"/>
    <col min="13070" max="13070" width="8" style="3474" customWidth="1"/>
    <col min="13071" max="13071" width="8.875" style="3474" customWidth="1"/>
    <col min="13072" max="13072" width="11.125" style="3474" customWidth="1"/>
    <col min="13073" max="13073" width="14.5" style="3474" customWidth="1"/>
    <col min="13074" max="13074" width="8.875" style="3474" customWidth="1"/>
    <col min="13075" max="13075" width="8" style="3474" customWidth="1"/>
    <col min="13076" max="13076" width="14" style="3474" customWidth="1"/>
    <col min="13077" max="13077" width="14.375" style="3474" customWidth="1"/>
    <col min="13078" max="13083" width="9" style="3474" hidden="1" customWidth="1"/>
    <col min="13084" max="13084" width="7.5" style="3474" customWidth="1"/>
    <col min="13085" max="13085" width="10" style="3474" customWidth="1"/>
    <col min="13086" max="13310" width="9" style="3474"/>
    <col min="13311" max="13311" width="5" style="3474" customWidth="1"/>
    <col min="13312" max="13312" width="9.75" style="3474" customWidth="1"/>
    <col min="13313" max="13313" width="17.375" style="3474" customWidth="1"/>
    <col min="13314" max="13315" width="9.75" style="3474" customWidth="1"/>
    <col min="13316" max="13316" width="22.625" style="3474" customWidth="1"/>
    <col min="13317" max="13317" width="18.625" style="3474" customWidth="1"/>
    <col min="13318" max="13318" width="13" style="3474" customWidth="1"/>
    <col min="13319" max="13319" width="9.5" style="3474" customWidth="1"/>
    <col min="13320" max="13320" width="7.875" style="3474" customWidth="1"/>
    <col min="13321" max="13321" width="10.25" style="3474" customWidth="1"/>
    <col min="13322" max="13322" width="6.75" style="3474" customWidth="1"/>
    <col min="13323" max="13323" width="9" style="3474" hidden="1" customWidth="1"/>
    <col min="13324" max="13325" width="6.75" style="3474" customWidth="1"/>
    <col min="13326" max="13326" width="8" style="3474" customWidth="1"/>
    <col min="13327" max="13327" width="8.875" style="3474" customWidth="1"/>
    <col min="13328" max="13328" width="11.125" style="3474" customWidth="1"/>
    <col min="13329" max="13329" width="14.5" style="3474" customWidth="1"/>
    <col min="13330" max="13330" width="8.875" style="3474" customWidth="1"/>
    <col min="13331" max="13331" width="8" style="3474" customWidth="1"/>
    <col min="13332" max="13332" width="14" style="3474" customWidth="1"/>
    <col min="13333" max="13333" width="14.375" style="3474" customWidth="1"/>
    <col min="13334" max="13339" width="9" style="3474" hidden="1" customWidth="1"/>
    <col min="13340" max="13340" width="7.5" style="3474" customWidth="1"/>
    <col min="13341" max="13341" width="10" style="3474" customWidth="1"/>
    <col min="13342" max="13566" width="9" style="3474"/>
    <col min="13567" max="13567" width="5" style="3474" customWidth="1"/>
    <col min="13568" max="13568" width="9.75" style="3474" customWidth="1"/>
    <col min="13569" max="13569" width="17.375" style="3474" customWidth="1"/>
    <col min="13570" max="13571" width="9.75" style="3474" customWidth="1"/>
    <col min="13572" max="13572" width="22.625" style="3474" customWidth="1"/>
    <col min="13573" max="13573" width="18.625" style="3474" customWidth="1"/>
    <col min="13574" max="13574" width="13" style="3474" customWidth="1"/>
    <col min="13575" max="13575" width="9.5" style="3474" customWidth="1"/>
    <col min="13576" max="13576" width="7.875" style="3474" customWidth="1"/>
    <col min="13577" max="13577" width="10.25" style="3474" customWidth="1"/>
    <col min="13578" max="13578" width="6.75" style="3474" customWidth="1"/>
    <col min="13579" max="13579" width="9" style="3474" hidden="1" customWidth="1"/>
    <col min="13580" max="13581" width="6.75" style="3474" customWidth="1"/>
    <col min="13582" max="13582" width="8" style="3474" customWidth="1"/>
    <col min="13583" max="13583" width="8.875" style="3474" customWidth="1"/>
    <col min="13584" max="13584" width="11.125" style="3474" customWidth="1"/>
    <col min="13585" max="13585" width="14.5" style="3474" customWidth="1"/>
    <col min="13586" max="13586" width="8.875" style="3474" customWidth="1"/>
    <col min="13587" max="13587" width="8" style="3474" customWidth="1"/>
    <col min="13588" max="13588" width="14" style="3474" customWidth="1"/>
    <col min="13589" max="13589" width="14.375" style="3474" customWidth="1"/>
    <col min="13590" max="13595" width="9" style="3474" hidden="1" customWidth="1"/>
    <col min="13596" max="13596" width="7.5" style="3474" customWidth="1"/>
    <col min="13597" max="13597" width="10" style="3474" customWidth="1"/>
    <col min="13598" max="13822" width="9" style="3474"/>
    <col min="13823" max="13823" width="5" style="3474" customWidth="1"/>
    <col min="13824" max="13824" width="9.75" style="3474" customWidth="1"/>
    <col min="13825" max="13825" width="17.375" style="3474" customWidth="1"/>
    <col min="13826" max="13827" width="9.75" style="3474" customWidth="1"/>
    <col min="13828" max="13828" width="22.625" style="3474" customWidth="1"/>
    <col min="13829" max="13829" width="18.625" style="3474" customWidth="1"/>
    <col min="13830" max="13830" width="13" style="3474" customWidth="1"/>
    <col min="13831" max="13831" width="9.5" style="3474" customWidth="1"/>
    <col min="13832" max="13832" width="7.875" style="3474" customWidth="1"/>
    <col min="13833" max="13833" width="10.25" style="3474" customWidth="1"/>
    <col min="13834" max="13834" width="6.75" style="3474" customWidth="1"/>
    <col min="13835" max="13835" width="9" style="3474" hidden="1" customWidth="1"/>
    <col min="13836" max="13837" width="6.75" style="3474" customWidth="1"/>
    <col min="13838" max="13838" width="8" style="3474" customWidth="1"/>
    <col min="13839" max="13839" width="8.875" style="3474" customWidth="1"/>
    <col min="13840" max="13840" width="11.125" style="3474" customWidth="1"/>
    <col min="13841" max="13841" width="14.5" style="3474" customWidth="1"/>
    <col min="13842" max="13842" width="8.875" style="3474" customWidth="1"/>
    <col min="13843" max="13843" width="8" style="3474" customWidth="1"/>
    <col min="13844" max="13844" width="14" style="3474" customWidth="1"/>
    <col min="13845" max="13845" width="14.375" style="3474" customWidth="1"/>
    <col min="13846" max="13851" width="9" style="3474" hidden="1" customWidth="1"/>
    <col min="13852" max="13852" width="7.5" style="3474" customWidth="1"/>
    <col min="13853" max="13853" width="10" style="3474" customWidth="1"/>
    <col min="13854" max="14078" width="9" style="3474"/>
    <col min="14079" max="14079" width="5" style="3474" customWidth="1"/>
    <col min="14080" max="14080" width="9.75" style="3474" customWidth="1"/>
    <col min="14081" max="14081" width="17.375" style="3474" customWidth="1"/>
    <col min="14082" max="14083" width="9.75" style="3474" customWidth="1"/>
    <col min="14084" max="14084" width="22.625" style="3474" customWidth="1"/>
    <col min="14085" max="14085" width="18.625" style="3474" customWidth="1"/>
    <col min="14086" max="14086" width="13" style="3474" customWidth="1"/>
    <col min="14087" max="14087" width="9.5" style="3474" customWidth="1"/>
    <col min="14088" max="14088" width="7.875" style="3474" customWidth="1"/>
    <col min="14089" max="14089" width="10.25" style="3474" customWidth="1"/>
    <col min="14090" max="14090" width="6.75" style="3474" customWidth="1"/>
    <col min="14091" max="14091" width="9" style="3474" hidden="1" customWidth="1"/>
    <col min="14092" max="14093" width="6.75" style="3474" customWidth="1"/>
    <col min="14094" max="14094" width="8" style="3474" customWidth="1"/>
    <col min="14095" max="14095" width="8.875" style="3474" customWidth="1"/>
    <col min="14096" max="14096" width="11.125" style="3474" customWidth="1"/>
    <col min="14097" max="14097" width="14.5" style="3474" customWidth="1"/>
    <col min="14098" max="14098" width="8.875" style="3474" customWidth="1"/>
    <col min="14099" max="14099" width="8" style="3474" customWidth="1"/>
    <col min="14100" max="14100" width="14" style="3474" customWidth="1"/>
    <col min="14101" max="14101" width="14.375" style="3474" customWidth="1"/>
    <col min="14102" max="14107" width="9" style="3474" hidden="1" customWidth="1"/>
    <col min="14108" max="14108" width="7.5" style="3474" customWidth="1"/>
    <col min="14109" max="14109" width="10" style="3474" customWidth="1"/>
    <col min="14110" max="14334" width="9" style="3474"/>
    <col min="14335" max="14335" width="5" style="3474" customWidth="1"/>
    <col min="14336" max="14336" width="9.75" style="3474" customWidth="1"/>
    <col min="14337" max="14337" width="17.375" style="3474" customWidth="1"/>
    <col min="14338" max="14339" width="9.75" style="3474" customWidth="1"/>
    <col min="14340" max="14340" width="22.625" style="3474" customWidth="1"/>
    <col min="14341" max="14341" width="18.625" style="3474" customWidth="1"/>
    <col min="14342" max="14342" width="13" style="3474" customWidth="1"/>
    <col min="14343" max="14343" width="9.5" style="3474" customWidth="1"/>
    <col min="14344" max="14344" width="7.875" style="3474" customWidth="1"/>
    <col min="14345" max="14345" width="10.25" style="3474" customWidth="1"/>
    <col min="14346" max="14346" width="6.75" style="3474" customWidth="1"/>
    <col min="14347" max="14347" width="9" style="3474" hidden="1" customWidth="1"/>
    <col min="14348" max="14349" width="6.75" style="3474" customWidth="1"/>
    <col min="14350" max="14350" width="8" style="3474" customWidth="1"/>
    <col min="14351" max="14351" width="8.875" style="3474" customWidth="1"/>
    <col min="14352" max="14352" width="11.125" style="3474" customWidth="1"/>
    <col min="14353" max="14353" width="14.5" style="3474" customWidth="1"/>
    <col min="14354" max="14354" width="8.875" style="3474" customWidth="1"/>
    <col min="14355" max="14355" width="8" style="3474" customWidth="1"/>
    <col min="14356" max="14356" width="14" style="3474" customWidth="1"/>
    <col min="14357" max="14357" width="14.375" style="3474" customWidth="1"/>
    <col min="14358" max="14363" width="9" style="3474" hidden="1" customWidth="1"/>
    <col min="14364" max="14364" width="7.5" style="3474" customWidth="1"/>
    <col min="14365" max="14365" width="10" style="3474" customWidth="1"/>
    <col min="14366" max="14590" width="9" style="3474"/>
    <col min="14591" max="14591" width="5" style="3474" customWidth="1"/>
    <col min="14592" max="14592" width="9.75" style="3474" customWidth="1"/>
    <col min="14593" max="14593" width="17.375" style="3474" customWidth="1"/>
    <col min="14594" max="14595" width="9.75" style="3474" customWidth="1"/>
    <col min="14596" max="14596" width="22.625" style="3474" customWidth="1"/>
    <col min="14597" max="14597" width="18.625" style="3474" customWidth="1"/>
    <col min="14598" max="14598" width="13" style="3474" customWidth="1"/>
    <col min="14599" max="14599" width="9.5" style="3474" customWidth="1"/>
    <col min="14600" max="14600" width="7.875" style="3474" customWidth="1"/>
    <col min="14601" max="14601" width="10.25" style="3474" customWidth="1"/>
    <col min="14602" max="14602" width="6.75" style="3474" customWidth="1"/>
    <col min="14603" max="14603" width="9" style="3474" hidden="1" customWidth="1"/>
    <col min="14604" max="14605" width="6.75" style="3474" customWidth="1"/>
    <col min="14606" max="14606" width="8" style="3474" customWidth="1"/>
    <col min="14607" max="14607" width="8.875" style="3474" customWidth="1"/>
    <col min="14608" max="14608" width="11.125" style="3474" customWidth="1"/>
    <col min="14609" max="14609" width="14.5" style="3474" customWidth="1"/>
    <col min="14610" max="14610" width="8.875" style="3474" customWidth="1"/>
    <col min="14611" max="14611" width="8" style="3474" customWidth="1"/>
    <col min="14612" max="14612" width="14" style="3474" customWidth="1"/>
    <col min="14613" max="14613" width="14.375" style="3474" customWidth="1"/>
    <col min="14614" max="14619" width="9" style="3474" hidden="1" customWidth="1"/>
    <col min="14620" max="14620" width="7.5" style="3474" customWidth="1"/>
    <col min="14621" max="14621" width="10" style="3474" customWidth="1"/>
    <col min="14622" max="14846" width="9" style="3474"/>
    <col min="14847" max="14847" width="5" style="3474" customWidth="1"/>
    <col min="14848" max="14848" width="9.75" style="3474" customWidth="1"/>
    <col min="14849" max="14849" width="17.375" style="3474" customWidth="1"/>
    <col min="14850" max="14851" width="9.75" style="3474" customWidth="1"/>
    <col min="14852" max="14852" width="22.625" style="3474" customWidth="1"/>
    <col min="14853" max="14853" width="18.625" style="3474" customWidth="1"/>
    <col min="14854" max="14854" width="13" style="3474" customWidth="1"/>
    <col min="14855" max="14855" width="9.5" style="3474" customWidth="1"/>
    <col min="14856" max="14856" width="7.875" style="3474" customWidth="1"/>
    <col min="14857" max="14857" width="10.25" style="3474" customWidth="1"/>
    <col min="14858" max="14858" width="6.75" style="3474" customWidth="1"/>
    <col min="14859" max="14859" width="9" style="3474" hidden="1" customWidth="1"/>
    <col min="14860" max="14861" width="6.75" style="3474" customWidth="1"/>
    <col min="14862" max="14862" width="8" style="3474" customWidth="1"/>
    <col min="14863" max="14863" width="8.875" style="3474" customWidth="1"/>
    <col min="14864" max="14864" width="11.125" style="3474" customWidth="1"/>
    <col min="14865" max="14865" width="14.5" style="3474" customWidth="1"/>
    <col min="14866" max="14866" width="8.875" style="3474" customWidth="1"/>
    <col min="14867" max="14867" width="8" style="3474" customWidth="1"/>
    <col min="14868" max="14868" width="14" style="3474" customWidth="1"/>
    <col min="14869" max="14869" width="14.375" style="3474" customWidth="1"/>
    <col min="14870" max="14875" width="9" style="3474" hidden="1" customWidth="1"/>
    <col min="14876" max="14876" width="7.5" style="3474" customWidth="1"/>
    <col min="14877" max="14877" width="10" style="3474" customWidth="1"/>
    <col min="14878" max="15102" width="9" style="3474"/>
    <col min="15103" max="15103" width="5" style="3474" customWidth="1"/>
    <col min="15104" max="15104" width="9.75" style="3474" customWidth="1"/>
    <col min="15105" max="15105" width="17.375" style="3474" customWidth="1"/>
    <col min="15106" max="15107" width="9.75" style="3474" customWidth="1"/>
    <col min="15108" max="15108" width="22.625" style="3474" customWidth="1"/>
    <col min="15109" max="15109" width="18.625" style="3474" customWidth="1"/>
    <col min="15110" max="15110" width="13" style="3474" customWidth="1"/>
    <col min="15111" max="15111" width="9.5" style="3474" customWidth="1"/>
    <col min="15112" max="15112" width="7.875" style="3474" customWidth="1"/>
    <col min="15113" max="15113" width="10.25" style="3474" customWidth="1"/>
    <col min="15114" max="15114" width="6.75" style="3474" customWidth="1"/>
    <col min="15115" max="15115" width="9" style="3474" hidden="1" customWidth="1"/>
    <col min="15116" max="15117" width="6.75" style="3474" customWidth="1"/>
    <col min="15118" max="15118" width="8" style="3474" customWidth="1"/>
    <col min="15119" max="15119" width="8.875" style="3474" customWidth="1"/>
    <col min="15120" max="15120" width="11.125" style="3474" customWidth="1"/>
    <col min="15121" max="15121" width="14.5" style="3474" customWidth="1"/>
    <col min="15122" max="15122" width="8.875" style="3474" customWidth="1"/>
    <col min="15123" max="15123" width="8" style="3474" customWidth="1"/>
    <col min="15124" max="15124" width="14" style="3474" customWidth="1"/>
    <col min="15125" max="15125" width="14.375" style="3474" customWidth="1"/>
    <col min="15126" max="15131" width="9" style="3474" hidden="1" customWidth="1"/>
    <col min="15132" max="15132" width="7.5" style="3474" customWidth="1"/>
    <col min="15133" max="15133" width="10" style="3474" customWidth="1"/>
    <col min="15134" max="15358" width="9" style="3474"/>
    <col min="15359" max="15359" width="5" style="3474" customWidth="1"/>
    <col min="15360" max="15360" width="9.75" style="3474" customWidth="1"/>
    <col min="15361" max="15361" width="17.375" style="3474" customWidth="1"/>
    <col min="15362" max="15363" width="9.75" style="3474" customWidth="1"/>
    <col min="15364" max="15364" width="22.625" style="3474" customWidth="1"/>
    <col min="15365" max="15365" width="18.625" style="3474" customWidth="1"/>
    <col min="15366" max="15366" width="13" style="3474" customWidth="1"/>
    <col min="15367" max="15367" width="9.5" style="3474" customWidth="1"/>
    <col min="15368" max="15368" width="7.875" style="3474" customWidth="1"/>
    <col min="15369" max="15369" width="10.25" style="3474" customWidth="1"/>
    <col min="15370" max="15370" width="6.75" style="3474" customWidth="1"/>
    <col min="15371" max="15371" width="9" style="3474" hidden="1" customWidth="1"/>
    <col min="15372" max="15373" width="6.75" style="3474" customWidth="1"/>
    <col min="15374" max="15374" width="8" style="3474" customWidth="1"/>
    <col min="15375" max="15375" width="8.875" style="3474" customWidth="1"/>
    <col min="15376" max="15376" width="11.125" style="3474" customWidth="1"/>
    <col min="15377" max="15377" width="14.5" style="3474" customWidth="1"/>
    <col min="15378" max="15378" width="8.875" style="3474" customWidth="1"/>
    <col min="15379" max="15379" width="8" style="3474" customWidth="1"/>
    <col min="15380" max="15380" width="14" style="3474" customWidth="1"/>
    <col min="15381" max="15381" width="14.375" style="3474" customWidth="1"/>
    <col min="15382" max="15387" width="9" style="3474" hidden="1" customWidth="1"/>
    <col min="15388" max="15388" width="7.5" style="3474" customWidth="1"/>
    <col min="15389" max="15389" width="10" style="3474" customWidth="1"/>
    <col min="15390" max="15614" width="9" style="3474"/>
    <col min="15615" max="15615" width="5" style="3474" customWidth="1"/>
    <col min="15616" max="15616" width="9.75" style="3474" customWidth="1"/>
    <col min="15617" max="15617" width="17.375" style="3474" customWidth="1"/>
    <col min="15618" max="15619" width="9.75" style="3474" customWidth="1"/>
    <col min="15620" max="15620" width="22.625" style="3474" customWidth="1"/>
    <col min="15621" max="15621" width="18.625" style="3474" customWidth="1"/>
    <col min="15622" max="15622" width="13" style="3474" customWidth="1"/>
    <col min="15623" max="15623" width="9.5" style="3474" customWidth="1"/>
    <col min="15624" max="15624" width="7.875" style="3474" customWidth="1"/>
    <col min="15625" max="15625" width="10.25" style="3474" customWidth="1"/>
    <col min="15626" max="15626" width="6.75" style="3474" customWidth="1"/>
    <col min="15627" max="15627" width="9" style="3474" hidden="1" customWidth="1"/>
    <col min="15628" max="15629" width="6.75" style="3474" customWidth="1"/>
    <col min="15630" max="15630" width="8" style="3474" customWidth="1"/>
    <col min="15631" max="15631" width="8.875" style="3474" customWidth="1"/>
    <col min="15632" max="15632" width="11.125" style="3474" customWidth="1"/>
    <col min="15633" max="15633" width="14.5" style="3474" customWidth="1"/>
    <col min="15634" max="15634" width="8.875" style="3474" customWidth="1"/>
    <col min="15635" max="15635" width="8" style="3474" customWidth="1"/>
    <col min="15636" max="15636" width="14" style="3474" customWidth="1"/>
    <col min="15637" max="15637" width="14.375" style="3474" customWidth="1"/>
    <col min="15638" max="15643" width="9" style="3474" hidden="1" customWidth="1"/>
    <col min="15644" max="15644" width="7.5" style="3474" customWidth="1"/>
    <col min="15645" max="15645" width="10" style="3474" customWidth="1"/>
    <col min="15646" max="15870" width="9" style="3474"/>
    <col min="15871" max="15871" width="5" style="3474" customWidth="1"/>
    <col min="15872" max="15872" width="9.75" style="3474" customWidth="1"/>
    <col min="15873" max="15873" width="17.375" style="3474" customWidth="1"/>
    <col min="15874" max="15875" width="9.75" style="3474" customWidth="1"/>
    <col min="15876" max="15876" width="22.625" style="3474" customWidth="1"/>
    <col min="15877" max="15877" width="18.625" style="3474" customWidth="1"/>
    <col min="15878" max="15878" width="13" style="3474" customWidth="1"/>
    <col min="15879" max="15879" width="9.5" style="3474" customWidth="1"/>
    <col min="15880" max="15880" width="7.875" style="3474" customWidth="1"/>
    <col min="15881" max="15881" width="10.25" style="3474" customWidth="1"/>
    <col min="15882" max="15882" width="6.75" style="3474" customWidth="1"/>
    <col min="15883" max="15883" width="9" style="3474" hidden="1" customWidth="1"/>
    <col min="15884" max="15885" width="6.75" style="3474" customWidth="1"/>
    <col min="15886" max="15886" width="8" style="3474" customWidth="1"/>
    <col min="15887" max="15887" width="8.875" style="3474" customWidth="1"/>
    <col min="15888" max="15888" width="11.125" style="3474" customWidth="1"/>
    <col min="15889" max="15889" width="14.5" style="3474" customWidth="1"/>
    <col min="15890" max="15890" width="8.875" style="3474" customWidth="1"/>
    <col min="15891" max="15891" width="8" style="3474" customWidth="1"/>
    <col min="15892" max="15892" width="14" style="3474" customWidth="1"/>
    <col min="15893" max="15893" width="14.375" style="3474" customWidth="1"/>
    <col min="15894" max="15899" width="9" style="3474" hidden="1" customWidth="1"/>
    <col min="15900" max="15900" width="7.5" style="3474" customWidth="1"/>
    <col min="15901" max="15901" width="10" style="3474" customWidth="1"/>
    <col min="15902" max="16126" width="9" style="3474"/>
    <col min="16127" max="16127" width="5" style="3474" customWidth="1"/>
    <col min="16128" max="16128" width="9.75" style="3474" customWidth="1"/>
    <col min="16129" max="16129" width="17.375" style="3474" customWidth="1"/>
    <col min="16130" max="16131" width="9.75" style="3474" customWidth="1"/>
    <col min="16132" max="16132" width="22.625" style="3474" customWidth="1"/>
    <col min="16133" max="16133" width="18.625" style="3474" customWidth="1"/>
    <col min="16134" max="16134" width="13" style="3474" customWidth="1"/>
    <col min="16135" max="16135" width="9.5" style="3474" customWidth="1"/>
    <col min="16136" max="16136" width="7.875" style="3474" customWidth="1"/>
    <col min="16137" max="16137" width="10.25" style="3474" customWidth="1"/>
    <col min="16138" max="16138" width="6.75" style="3474" customWidth="1"/>
    <col min="16139" max="16139" width="9" style="3474" hidden="1" customWidth="1"/>
    <col min="16140" max="16141" width="6.75" style="3474" customWidth="1"/>
    <col min="16142" max="16142" width="8" style="3474" customWidth="1"/>
    <col min="16143" max="16143" width="8.875" style="3474" customWidth="1"/>
    <col min="16144" max="16144" width="11.125" style="3474" customWidth="1"/>
    <col min="16145" max="16145" width="14.5" style="3474" customWidth="1"/>
    <col min="16146" max="16146" width="8.875" style="3474" customWidth="1"/>
    <col min="16147" max="16147" width="8" style="3474" customWidth="1"/>
    <col min="16148" max="16148" width="14" style="3474" customWidth="1"/>
    <col min="16149" max="16149" width="14.375" style="3474" customWidth="1"/>
    <col min="16150" max="16155" width="9" style="3474" hidden="1" customWidth="1"/>
    <col min="16156" max="16156" width="7.5" style="3474" customWidth="1"/>
    <col min="16157" max="16157" width="10" style="3474" customWidth="1"/>
    <col min="16158" max="16384" width="9" style="3474"/>
  </cols>
  <sheetData>
    <row r="1" spans="1:30">
      <c r="A1" s="3473"/>
    </row>
    <row r="2" spans="1:30" s="3476" customFormat="1" ht="27">
      <c r="A2" s="3658" t="s">
        <v>3382</v>
      </c>
      <c r="B2" s="3659"/>
      <c r="C2" s="3659"/>
      <c r="D2" s="3659"/>
      <c r="E2" s="3659"/>
      <c r="F2" s="3659"/>
      <c r="G2" s="3659"/>
      <c r="H2" s="3659"/>
      <c r="I2" s="3659"/>
      <c r="J2" s="3659"/>
      <c r="K2" s="3659"/>
      <c r="L2" s="3659"/>
      <c r="M2" s="3659"/>
      <c r="N2" s="3659"/>
      <c r="O2" s="3659"/>
      <c r="P2" s="3659"/>
      <c r="Q2" s="3659"/>
      <c r="R2" s="3659"/>
      <c r="S2" s="3659"/>
      <c r="T2" s="3659"/>
      <c r="U2" s="3659"/>
      <c r="V2" s="3659"/>
      <c r="W2" s="3659"/>
      <c r="X2" s="3659"/>
      <c r="Y2" s="3659"/>
      <c r="Z2" s="3659"/>
      <c r="AA2" s="3659"/>
      <c r="AB2" s="3475"/>
    </row>
    <row r="3" spans="1:30" ht="18.75">
      <c r="A3" s="3660">
        <v>44804</v>
      </c>
      <c r="B3" s="3660"/>
      <c r="C3" s="3660"/>
      <c r="D3" s="3660"/>
      <c r="E3" s="3660"/>
      <c r="F3" s="3660"/>
      <c r="G3" s="3660"/>
      <c r="H3" s="3660"/>
      <c r="I3" s="3660"/>
      <c r="J3" s="3660"/>
      <c r="K3" s="3660"/>
      <c r="L3" s="3660"/>
      <c r="M3" s="3660"/>
      <c r="N3" s="3660"/>
      <c r="O3" s="3660"/>
      <c r="P3" s="3660"/>
      <c r="Q3" s="3660"/>
      <c r="R3" s="3660"/>
      <c r="S3" s="3660"/>
      <c r="T3" s="3660"/>
      <c r="U3" s="3660"/>
      <c r="V3" s="3660"/>
      <c r="W3" s="3660"/>
      <c r="X3" s="3660"/>
      <c r="Y3" s="3660"/>
      <c r="Z3" s="3660"/>
      <c r="AA3" s="3660"/>
      <c r="AB3" s="3660"/>
    </row>
    <row r="5" spans="1:30">
      <c r="A5" s="3477" t="s">
        <v>3383</v>
      </c>
      <c r="AB5" s="3474" t="s">
        <v>3384</v>
      </c>
    </row>
    <row r="6" spans="1:30">
      <c r="A6" s="3661" t="s">
        <v>3385</v>
      </c>
      <c r="B6" s="3663" t="s">
        <v>3386</v>
      </c>
      <c r="C6" s="3664"/>
      <c r="D6" s="3664"/>
      <c r="E6" s="3664"/>
      <c r="F6" s="3664"/>
      <c r="G6" s="3665"/>
      <c r="H6" s="3666" t="s">
        <v>3387</v>
      </c>
      <c r="I6" s="3667" t="s">
        <v>3388</v>
      </c>
      <c r="J6" s="3663" t="s">
        <v>3389</v>
      </c>
      <c r="K6" s="3667" t="s">
        <v>3390</v>
      </c>
      <c r="L6" s="3667" t="s">
        <v>3391</v>
      </c>
      <c r="M6" s="3663" t="s">
        <v>3392</v>
      </c>
      <c r="N6" s="3670" t="s">
        <v>3393</v>
      </c>
      <c r="O6" s="3672" t="s">
        <v>3394</v>
      </c>
      <c r="P6" s="3672" t="s">
        <v>3395</v>
      </c>
      <c r="Q6" s="3670" t="s">
        <v>3396</v>
      </c>
      <c r="R6" s="3672" t="s">
        <v>3397</v>
      </c>
      <c r="S6" s="3672" t="s">
        <v>3398</v>
      </c>
      <c r="T6" s="3670" t="s">
        <v>3399</v>
      </c>
      <c r="U6" s="3676" t="s">
        <v>3400</v>
      </c>
      <c r="V6" s="3669" t="s">
        <v>3401</v>
      </c>
      <c r="W6" s="3663" t="s">
        <v>3402</v>
      </c>
      <c r="X6" s="3665"/>
      <c r="Y6" s="3663" t="s">
        <v>3403</v>
      </c>
      <c r="Z6" s="3665"/>
      <c r="AA6" s="3669" t="s">
        <v>3404</v>
      </c>
      <c r="AB6" s="3669" t="s">
        <v>3405</v>
      </c>
    </row>
    <row r="7" spans="1:30" ht="45">
      <c r="A7" s="3662"/>
      <c r="B7" s="3478" t="s">
        <v>3406</v>
      </c>
      <c r="C7" s="3478" t="s">
        <v>3407</v>
      </c>
      <c r="D7" s="3478" t="s">
        <v>3408</v>
      </c>
      <c r="E7" s="3478" t="s">
        <v>3409</v>
      </c>
      <c r="F7" s="3478" t="s">
        <v>3410</v>
      </c>
      <c r="G7" s="3478" t="s">
        <v>670</v>
      </c>
      <c r="H7" s="3662"/>
      <c r="I7" s="3668"/>
      <c r="J7" s="3662"/>
      <c r="K7" s="3668"/>
      <c r="L7" s="3668"/>
      <c r="M7" s="3662"/>
      <c r="N7" s="3671"/>
      <c r="O7" s="3671"/>
      <c r="P7" s="3671"/>
      <c r="Q7" s="3671"/>
      <c r="R7" s="3671"/>
      <c r="S7" s="3671"/>
      <c r="T7" s="3671"/>
      <c r="U7" s="3671"/>
      <c r="V7" s="3662"/>
      <c r="W7" s="3479" t="s">
        <v>3411</v>
      </c>
      <c r="X7" s="3480" t="s">
        <v>3412</v>
      </c>
      <c r="Y7" s="3481" t="s">
        <v>3413</v>
      </c>
      <c r="Z7" s="3482" t="s">
        <v>3414</v>
      </c>
      <c r="AA7" s="3662"/>
      <c r="AB7" s="3662"/>
      <c r="AC7" s="3474" t="s">
        <v>3415</v>
      </c>
    </row>
    <row r="8" spans="1:30" ht="31.5">
      <c r="A8" s="3483">
        <v>1</v>
      </c>
      <c r="B8" s="3677" t="s">
        <v>3416</v>
      </c>
      <c r="C8" s="3677" t="s">
        <v>3417</v>
      </c>
      <c r="D8" s="3677" t="s">
        <v>3418</v>
      </c>
      <c r="E8" s="3677" t="s">
        <v>3419</v>
      </c>
      <c r="F8" s="3677" t="s">
        <v>3420</v>
      </c>
      <c r="G8" s="3677" t="s">
        <v>3421</v>
      </c>
      <c r="H8" s="3484" t="s">
        <v>3422</v>
      </c>
      <c r="I8" s="3680" t="s">
        <v>3423</v>
      </c>
      <c r="J8" s="3683" t="s">
        <v>3424</v>
      </c>
      <c r="K8" s="3485" t="s">
        <v>21</v>
      </c>
      <c r="L8" s="3485" t="s">
        <v>21</v>
      </c>
      <c r="M8" s="3486" t="s">
        <v>3425</v>
      </c>
      <c r="N8" s="3485" t="s">
        <v>3426</v>
      </c>
      <c r="O8" s="3485">
        <v>99</v>
      </c>
      <c r="P8" s="3487" t="s">
        <v>3427</v>
      </c>
      <c r="Q8" s="3488" t="s">
        <v>3428</v>
      </c>
      <c r="R8" s="3686" t="s">
        <v>3429</v>
      </c>
      <c r="S8" s="3489">
        <v>3.3</v>
      </c>
      <c r="T8" s="3490" t="s">
        <v>3430</v>
      </c>
      <c r="U8" s="3526">
        <v>3504.5</v>
      </c>
      <c r="V8" s="3705">
        <v>35034</v>
      </c>
      <c r="W8" s="3694">
        <v>79662225.870000005</v>
      </c>
      <c r="X8" s="3492">
        <v>84619700</v>
      </c>
      <c r="Y8" s="3493">
        <f>ROUND(Z8/U8*10000,0)</f>
        <v>58657</v>
      </c>
      <c r="Z8" s="3489">
        <v>20556.349999999999</v>
      </c>
      <c r="AA8" s="3494" t="e">
        <f>IF(X8-#REF!=0,"",(Z8-X8+#REF!)/(X8-#REF!)*100)</f>
        <v>#REF!</v>
      </c>
      <c r="AB8" s="3709" t="s">
        <v>3431</v>
      </c>
      <c r="AC8" s="3474" t="s">
        <v>3432</v>
      </c>
      <c r="AD8" s="3495"/>
    </row>
    <row r="9" spans="1:30" ht="30">
      <c r="A9" s="3483">
        <v>2</v>
      </c>
      <c r="B9" s="3678"/>
      <c r="C9" s="3678"/>
      <c r="D9" s="3678"/>
      <c r="E9" s="3678"/>
      <c r="F9" s="3678"/>
      <c r="G9" s="3678"/>
      <c r="H9" s="3689" t="s">
        <v>3433</v>
      </c>
      <c r="I9" s="3681"/>
      <c r="J9" s="3684"/>
      <c r="K9" s="3485" t="s">
        <v>21</v>
      </c>
      <c r="L9" s="3496" t="s">
        <v>671</v>
      </c>
      <c r="M9" s="3486" t="s">
        <v>3425</v>
      </c>
      <c r="N9" s="3485" t="s">
        <v>3426</v>
      </c>
      <c r="O9" s="3485">
        <v>99</v>
      </c>
      <c r="P9" s="3487" t="s">
        <v>3434</v>
      </c>
      <c r="Q9" s="3488" t="s">
        <v>3435</v>
      </c>
      <c r="R9" s="3687"/>
      <c r="S9" s="3489">
        <v>4.8</v>
      </c>
      <c r="T9" s="3490" t="s">
        <v>3430</v>
      </c>
      <c r="U9" s="3531">
        <v>1386</v>
      </c>
      <c r="V9" s="3706"/>
      <c r="W9" s="3708"/>
      <c r="X9" s="3492">
        <v>47711700</v>
      </c>
      <c r="Y9" s="3493">
        <f t="shared" ref="Y9:Y12" si="0">ROUND(Z9/U9*10000,0)</f>
        <v>77026</v>
      </c>
      <c r="Z9" s="3489">
        <v>10675.8</v>
      </c>
      <c r="AA9" s="3494" t="e">
        <f>IF(X9-#REF!=0,"",(Z9-X9+#REF!)/(X9-#REF!)*100)</f>
        <v>#REF!</v>
      </c>
      <c r="AB9" s="3716"/>
      <c r="AC9" s="3474" t="s">
        <v>3436</v>
      </c>
      <c r="AD9" s="3495"/>
    </row>
    <row r="10" spans="1:30" ht="30">
      <c r="A10" s="3483">
        <v>3</v>
      </c>
      <c r="B10" s="3678"/>
      <c r="C10" s="3678"/>
      <c r="D10" s="3678"/>
      <c r="E10" s="3678"/>
      <c r="F10" s="3678"/>
      <c r="G10" s="3678"/>
      <c r="H10" s="3690"/>
      <c r="I10" s="3681"/>
      <c r="J10" s="3684"/>
      <c r="K10" s="3485" t="s">
        <v>21</v>
      </c>
      <c r="L10" s="3496" t="s">
        <v>671</v>
      </c>
      <c r="M10" s="3486" t="s">
        <v>3425</v>
      </c>
      <c r="N10" s="3485" t="s">
        <v>3426</v>
      </c>
      <c r="O10" s="3485">
        <v>99</v>
      </c>
      <c r="P10" s="3487" t="s">
        <v>3437</v>
      </c>
      <c r="Q10" s="3488" t="s">
        <v>3438</v>
      </c>
      <c r="R10" s="3687"/>
      <c r="S10" s="3489">
        <v>4.5</v>
      </c>
      <c r="T10" s="3490" t="s">
        <v>3430</v>
      </c>
      <c r="U10" s="3531">
        <v>3686.7</v>
      </c>
      <c r="V10" s="3706"/>
      <c r="W10" s="3708"/>
      <c r="X10" s="3492">
        <v>125052900</v>
      </c>
      <c r="Y10" s="3493">
        <f t="shared" si="0"/>
        <v>63559</v>
      </c>
      <c r="Z10" s="3489">
        <v>23432.3</v>
      </c>
      <c r="AA10" s="3494" t="e">
        <f>IF(X10-#REF!=0,"",(Z10-X10+#REF!)/(X10-#REF!)*100)</f>
        <v>#REF!</v>
      </c>
      <c r="AB10" s="3716"/>
      <c r="AC10" s="3474" t="s">
        <v>3439</v>
      </c>
    </row>
    <row r="11" spans="1:30" ht="30">
      <c r="A11" s="3483">
        <v>4</v>
      </c>
      <c r="B11" s="3678"/>
      <c r="C11" s="3678"/>
      <c r="D11" s="3678"/>
      <c r="E11" s="3678"/>
      <c r="F11" s="3678"/>
      <c r="G11" s="3678"/>
      <c r="H11" s="3690"/>
      <c r="I11" s="3681"/>
      <c r="J11" s="3684"/>
      <c r="K11" s="3485" t="s">
        <v>21</v>
      </c>
      <c r="L11" s="3496" t="s">
        <v>671</v>
      </c>
      <c r="M11" s="3486" t="s">
        <v>3425</v>
      </c>
      <c r="N11" s="3485" t="s">
        <v>3426</v>
      </c>
      <c r="O11" s="3485">
        <v>99</v>
      </c>
      <c r="P11" s="3487" t="s">
        <v>3440</v>
      </c>
      <c r="Q11" s="3488" t="s">
        <v>3441</v>
      </c>
      <c r="R11" s="3687"/>
      <c r="S11" s="3489">
        <v>4.5</v>
      </c>
      <c r="T11" s="3490" t="s">
        <v>3430</v>
      </c>
      <c r="U11" s="3531">
        <v>2703.6</v>
      </c>
      <c r="V11" s="3706"/>
      <c r="W11" s="3708"/>
      <c r="X11" s="3492">
        <v>93068700</v>
      </c>
      <c r="Y11" s="3493">
        <f t="shared" si="0"/>
        <v>58952</v>
      </c>
      <c r="Z11" s="3489">
        <v>15938.26</v>
      </c>
      <c r="AA11" s="3494" t="e">
        <f>IF(X11-#REF!=0,"",(Z11-X11+#REF!)/(X11-#REF!)*100)</f>
        <v>#REF!</v>
      </c>
      <c r="AB11" s="3716"/>
      <c r="AC11" s="3474" t="s">
        <v>3442</v>
      </c>
    </row>
    <row r="12" spans="1:30" ht="30">
      <c r="A12" s="3483">
        <v>5</v>
      </c>
      <c r="B12" s="3678"/>
      <c r="C12" s="3678"/>
      <c r="D12" s="3678"/>
      <c r="E12" s="3678"/>
      <c r="F12" s="3678"/>
      <c r="G12" s="3678"/>
      <c r="H12" s="3690"/>
      <c r="I12" s="3681"/>
      <c r="J12" s="3684"/>
      <c r="K12" s="3485" t="s">
        <v>21</v>
      </c>
      <c r="L12" s="3496" t="s">
        <v>21</v>
      </c>
      <c r="M12" s="3486" t="s">
        <v>3425</v>
      </c>
      <c r="N12" s="3485" t="s">
        <v>3426</v>
      </c>
      <c r="O12" s="3485">
        <v>99</v>
      </c>
      <c r="P12" s="3524" t="s">
        <v>3443</v>
      </c>
      <c r="Q12" s="3488" t="s">
        <v>3444</v>
      </c>
      <c r="R12" s="3687"/>
      <c r="S12" s="3489">
        <v>3.3</v>
      </c>
      <c r="T12" s="3490" t="s">
        <v>3430</v>
      </c>
      <c r="U12" s="3531">
        <v>1168.2</v>
      </c>
      <c r="V12" s="3706"/>
      <c r="W12" s="3708"/>
      <c r="X12" s="3492">
        <v>40616000</v>
      </c>
      <c r="Y12" s="3493">
        <f t="shared" si="0"/>
        <v>57993</v>
      </c>
      <c r="Z12" s="3489">
        <v>6774.74</v>
      </c>
      <c r="AA12" s="3494" t="e">
        <f>IF(X12-#REF!=0,"",(Z12-X12+#REF!)/(X12-#REF!)*100)</f>
        <v>#REF!</v>
      </c>
      <c r="AB12" s="3716"/>
      <c r="AC12" s="3474" t="s">
        <v>3445</v>
      </c>
    </row>
    <row r="13" spans="1:30" ht="30">
      <c r="A13" s="3483">
        <v>6</v>
      </c>
      <c r="B13" s="3678"/>
      <c r="C13" s="3678"/>
      <c r="D13" s="3678"/>
      <c r="E13" s="3678"/>
      <c r="F13" s="3678"/>
      <c r="G13" s="3678"/>
      <c r="H13" s="3690"/>
      <c r="I13" s="3681"/>
      <c r="J13" s="3684"/>
      <c r="K13" s="3485" t="s">
        <v>21</v>
      </c>
      <c r="L13" s="3496" t="s">
        <v>21</v>
      </c>
      <c r="M13" s="3486" t="s">
        <v>3425</v>
      </c>
      <c r="N13" s="3485" t="s">
        <v>3426</v>
      </c>
      <c r="O13" s="3485">
        <v>99</v>
      </c>
      <c r="P13" s="3487" t="s">
        <v>3443</v>
      </c>
      <c r="Q13" s="3488" t="s">
        <v>3446</v>
      </c>
      <c r="R13" s="3687"/>
      <c r="S13" s="3489">
        <v>3.3</v>
      </c>
      <c r="T13" s="3490" t="s">
        <v>3430</v>
      </c>
      <c r="U13" s="3531">
        <v>1168.2</v>
      </c>
      <c r="V13" s="3706"/>
      <c r="W13" s="3708"/>
      <c r="X13" s="3492">
        <v>40616000</v>
      </c>
      <c r="Y13" s="3493">
        <f>ROUND(Z13/U13*10000,0)</f>
        <v>58150</v>
      </c>
      <c r="Z13" s="3489">
        <v>6793.09</v>
      </c>
      <c r="AA13" s="3494" t="e">
        <f>IF(X13-#REF!=0,"",(Z13-X13+#REF!)/(X13-#REF!)*100)</f>
        <v>#REF!</v>
      </c>
      <c r="AB13" s="3716"/>
      <c r="AC13" s="3474" t="s">
        <v>3447</v>
      </c>
    </row>
    <row r="14" spans="1:30" ht="30">
      <c r="A14" s="3483">
        <v>7</v>
      </c>
      <c r="B14" s="3678"/>
      <c r="C14" s="3678"/>
      <c r="D14" s="3678"/>
      <c r="E14" s="3678"/>
      <c r="F14" s="3678"/>
      <c r="G14" s="3678"/>
      <c r="H14" s="3690"/>
      <c r="I14" s="3681"/>
      <c r="J14" s="3684"/>
      <c r="K14" s="3485" t="s">
        <v>21</v>
      </c>
      <c r="L14" s="3692" t="s">
        <v>3448</v>
      </c>
      <c r="M14" s="3486" t="s">
        <v>3425</v>
      </c>
      <c r="N14" s="3485" t="s">
        <v>3426</v>
      </c>
      <c r="O14" s="3485">
        <v>99</v>
      </c>
      <c r="P14" s="3487" t="s">
        <v>3449</v>
      </c>
      <c r="Q14" s="3488" t="s">
        <v>3450</v>
      </c>
      <c r="R14" s="3687"/>
      <c r="S14" s="3489">
        <v>4.8</v>
      </c>
      <c r="T14" s="3490" t="s">
        <v>3430</v>
      </c>
      <c r="U14" s="3531">
        <v>2513.5</v>
      </c>
      <c r="V14" s="3706"/>
      <c r="W14" s="3708"/>
      <c r="X14" s="3492">
        <v>96324900</v>
      </c>
      <c r="Y14" s="3731">
        <f>ROUND(Z14/(U14+U15+U16+U17+U18+U19)*10000,0)</f>
        <v>102198</v>
      </c>
      <c r="Z14" s="3670">
        <v>28191.32</v>
      </c>
      <c r="AA14" s="3494" t="e">
        <f>IF(X14-#REF!=0,"",(Z14-X14+#REF!)/(X14-#REF!)*100)</f>
        <v>#REF!</v>
      </c>
      <c r="AB14" s="3716"/>
      <c r="AC14" s="3474" t="s">
        <v>3451</v>
      </c>
    </row>
    <row r="15" spans="1:30" ht="30">
      <c r="A15" s="3483">
        <v>8</v>
      </c>
      <c r="B15" s="3678"/>
      <c r="C15" s="3678"/>
      <c r="D15" s="3678"/>
      <c r="E15" s="3678"/>
      <c r="F15" s="3678"/>
      <c r="G15" s="3678"/>
      <c r="H15" s="3690"/>
      <c r="I15" s="3681"/>
      <c r="J15" s="3684"/>
      <c r="K15" s="3485" t="s">
        <v>21</v>
      </c>
      <c r="L15" s="3702"/>
      <c r="M15" s="3486" t="s">
        <v>3425</v>
      </c>
      <c r="N15" s="3485" t="s">
        <v>3426</v>
      </c>
      <c r="O15" s="3485">
        <v>99</v>
      </c>
      <c r="P15" s="3487" t="s">
        <v>3452</v>
      </c>
      <c r="Q15" s="3488" t="s">
        <v>3450</v>
      </c>
      <c r="R15" s="3687"/>
      <c r="S15" s="3489">
        <v>4.8</v>
      </c>
      <c r="T15" s="3490" t="s">
        <v>3430</v>
      </c>
      <c r="U15" s="3531">
        <v>17.2</v>
      </c>
      <c r="V15" s="3706"/>
      <c r="W15" s="3708"/>
      <c r="X15" s="3492">
        <v>685500</v>
      </c>
      <c r="Y15" s="3732"/>
      <c r="Z15" s="3703"/>
      <c r="AA15" s="3494" t="e">
        <f>IF(X15-#REF!=0,"",(Z15-X15+#REF!)/(X15-#REF!)*100)</f>
        <v>#REF!</v>
      </c>
      <c r="AB15" s="3716"/>
      <c r="AC15" s="3474" t="s">
        <v>3453</v>
      </c>
    </row>
    <row r="16" spans="1:30" ht="30">
      <c r="A16" s="3483">
        <v>9</v>
      </c>
      <c r="B16" s="3678"/>
      <c r="C16" s="3678"/>
      <c r="D16" s="3678"/>
      <c r="E16" s="3678"/>
      <c r="F16" s="3678"/>
      <c r="G16" s="3678"/>
      <c r="H16" s="3690"/>
      <c r="I16" s="3681"/>
      <c r="J16" s="3684"/>
      <c r="K16" s="3485" t="s">
        <v>21</v>
      </c>
      <c r="L16" s="3702"/>
      <c r="M16" s="3486" t="s">
        <v>3425</v>
      </c>
      <c r="N16" s="3485" t="s">
        <v>3426</v>
      </c>
      <c r="O16" s="3485">
        <v>99</v>
      </c>
      <c r="P16" s="3487" t="s">
        <v>3454</v>
      </c>
      <c r="Q16" s="3488" t="s">
        <v>3450</v>
      </c>
      <c r="R16" s="3687"/>
      <c r="S16" s="3489">
        <v>4.8</v>
      </c>
      <c r="T16" s="3490" t="s">
        <v>3430</v>
      </c>
      <c r="U16" s="3531">
        <v>31.2</v>
      </c>
      <c r="V16" s="3706"/>
      <c r="W16" s="3708"/>
      <c r="X16" s="3492">
        <v>1243500</v>
      </c>
      <c r="Y16" s="3732"/>
      <c r="Z16" s="3703"/>
      <c r="AA16" s="3494" t="e">
        <f>IF(X16-#REF!=0,"",(Z16-X16+#REF!)/(X16-#REF!)*100)</f>
        <v>#REF!</v>
      </c>
      <c r="AB16" s="3716"/>
      <c r="AC16" s="3474" t="s">
        <v>3455</v>
      </c>
    </row>
    <row r="17" spans="1:29" ht="30">
      <c r="A17" s="3483">
        <v>10</v>
      </c>
      <c r="B17" s="3678"/>
      <c r="C17" s="3678"/>
      <c r="D17" s="3678"/>
      <c r="E17" s="3678"/>
      <c r="F17" s="3678"/>
      <c r="G17" s="3678"/>
      <c r="H17" s="3690"/>
      <c r="I17" s="3681"/>
      <c r="J17" s="3684"/>
      <c r="K17" s="3485" t="s">
        <v>21</v>
      </c>
      <c r="L17" s="3702"/>
      <c r="M17" s="3486" t="s">
        <v>3425</v>
      </c>
      <c r="N17" s="3485" t="s">
        <v>3426</v>
      </c>
      <c r="O17" s="3485">
        <v>99</v>
      </c>
      <c r="P17" s="3487" t="s">
        <v>3456</v>
      </c>
      <c r="Q17" s="3488" t="s">
        <v>3450</v>
      </c>
      <c r="R17" s="3687"/>
      <c r="S17" s="3489">
        <v>4.8</v>
      </c>
      <c r="T17" s="3490" t="s">
        <v>3430</v>
      </c>
      <c r="U17" s="3531">
        <v>11</v>
      </c>
      <c r="V17" s="3706"/>
      <c r="W17" s="3708"/>
      <c r="X17" s="3492">
        <v>438400</v>
      </c>
      <c r="Y17" s="3732"/>
      <c r="Z17" s="3703"/>
      <c r="AA17" s="3494" t="e">
        <f>IF(X17-#REF!=0,"",(Z17-X17+#REF!)/(X17-#REF!)*100)</f>
        <v>#REF!</v>
      </c>
      <c r="AB17" s="3716"/>
      <c r="AC17" s="3474" t="s">
        <v>3457</v>
      </c>
    </row>
    <row r="18" spans="1:29" ht="30">
      <c r="A18" s="3483">
        <v>11</v>
      </c>
      <c r="B18" s="3678"/>
      <c r="C18" s="3678"/>
      <c r="D18" s="3678"/>
      <c r="E18" s="3678"/>
      <c r="F18" s="3678"/>
      <c r="G18" s="3678"/>
      <c r="H18" s="3690"/>
      <c r="I18" s="3681"/>
      <c r="J18" s="3684"/>
      <c r="K18" s="3485" t="s">
        <v>21</v>
      </c>
      <c r="L18" s="3702"/>
      <c r="M18" s="3486" t="s">
        <v>3425</v>
      </c>
      <c r="N18" s="3485" t="s">
        <v>3426</v>
      </c>
      <c r="O18" s="3485">
        <v>99</v>
      </c>
      <c r="P18" s="3487" t="s">
        <v>3458</v>
      </c>
      <c r="Q18" s="3488" t="s">
        <v>3450</v>
      </c>
      <c r="R18" s="3687"/>
      <c r="S18" s="3489">
        <v>4.8</v>
      </c>
      <c r="T18" s="3490" t="s">
        <v>3430</v>
      </c>
      <c r="U18" s="3531">
        <v>71.5</v>
      </c>
      <c r="V18" s="3706"/>
      <c r="W18" s="3708"/>
      <c r="X18" s="3492">
        <v>2849700</v>
      </c>
      <c r="Y18" s="3732"/>
      <c r="Z18" s="3703"/>
      <c r="AA18" s="3494" t="e">
        <f>IF(X18-#REF!=0,"",(Z18-X18+#REF!)/(X18-#REF!)*100)</f>
        <v>#REF!</v>
      </c>
      <c r="AB18" s="3716"/>
      <c r="AC18" s="3474" t="s">
        <v>3459</v>
      </c>
    </row>
    <row r="19" spans="1:29" ht="30">
      <c r="A19" s="3483">
        <v>12</v>
      </c>
      <c r="B19" s="3678"/>
      <c r="C19" s="3678"/>
      <c r="D19" s="3678"/>
      <c r="E19" s="3678"/>
      <c r="F19" s="3678"/>
      <c r="G19" s="3678"/>
      <c r="H19" s="3691"/>
      <c r="I19" s="3681"/>
      <c r="J19" s="3684"/>
      <c r="K19" s="3485" t="s">
        <v>21</v>
      </c>
      <c r="L19" s="3693"/>
      <c r="M19" s="3497" t="s">
        <v>3460</v>
      </c>
      <c r="N19" s="3485" t="s">
        <v>3426</v>
      </c>
      <c r="O19" s="3485">
        <v>99</v>
      </c>
      <c r="P19" s="3487" t="s">
        <v>3461</v>
      </c>
      <c r="Q19" s="3488" t="s">
        <v>3450</v>
      </c>
      <c r="R19" s="3687"/>
      <c r="S19" s="3489">
        <v>4.8</v>
      </c>
      <c r="T19" s="3490" t="s">
        <v>3430</v>
      </c>
      <c r="U19" s="3531">
        <v>114.1</v>
      </c>
      <c r="V19" s="3706"/>
      <c r="W19" s="3708"/>
      <c r="X19" s="3492">
        <v>4547600</v>
      </c>
      <c r="Y19" s="3733"/>
      <c r="Z19" s="3704"/>
      <c r="AA19" s="3494" t="e">
        <f>IF(X19-#REF!=0,"",(Z19-X19+#REF!)/(X19-#REF!)*100)</f>
        <v>#REF!</v>
      </c>
      <c r="AB19" s="3716"/>
      <c r="AC19" s="3474" t="s">
        <v>3462</v>
      </c>
    </row>
    <row r="20" spans="1:29" ht="30">
      <c r="A20" s="3483">
        <v>13</v>
      </c>
      <c r="B20" s="3678"/>
      <c r="C20" s="3678"/>
      <c r="D20" s="3678"/>
      <c r="E20" s="3678"/>
      <c r="F20" s="3678"/>
      <c r="G20" s="3678"/>
      <c r="H20" s="3689" t="s">
        <v>3463</v>
      </c>
      <c r="I20" s="3681"/>
      <c r="J20" s="3684"/>
      <c r="K20" s="3485" t="s">
        <v>21</v>
      </c>
      <c r="L20" s="3485" t="s">
        <v>671</v>
      </c>
      <c r="M20" s="3486" t="s">
        <v>3425</v>
      </c>
      <c r="N20" s="3485" t="s">
        <v>3426</v>
      </c>
      <c r="O20" s="3485">
        <v>99</v>
      </c>
      <c r="P20" s="3487" t="s">
        <v>3464</v>
      </c>
      <c r="Q20" s="3488" t="s">
        <v>3435</v>
      </c>
      <c r="R20" s="3687"/>
      <c r="S20" s="3489">
        <v>4.8</v>
      </c>
      <c r="T20" s="3490" t="s">
        <v>3465</v>
      </c>
      <c r="U20" s="3526">
        <v>2001.3</v>
      </c>
      <c r="V20" s="3706"/>
      <c r="W20" s="3694">
        <v>20317597.079999998</v>
      </c>
      <c r="X20" s="3673">
        <v>10348750.710000001</v>
      </c>
      <c r="Y20" s="3493">
        <f>ROUND(Z20/U20*10000,0)</f>
        <v>83023</v>
      </c>
      <c r="Z20" s="3489">
        <v>16615.39</v>
      </c>
      <c r="AA20" s="3494"/>
      <c r="AB20" s="3716"/>
    </row>
    <row r="21" spans="1:29" ht="30">
      <c r="A21" s="3483">
        <v>14</v>
      </c>
      <c r="B21" s="3678"/>
      <c r="C21" s="3678"/>
      <c r="D21" s="3678"/>
      <c r="E21" s="3678"/>
      <c r="F21" s="3678"/>
      <c r="G21" s="3678"/>
      <c r="H21" s="3691"/>
      <c r="I21" s="3681"/>
      <c r="J21" s="3684"/>
      <c r="K21" s="3485" t="s">
        <v>21</v>
      </c>
      <c r="L21" s="3496" t="s">
        <v>21</v>
      </c>
      <c r="M21" s="3486" t="s">
        <v>3425</v>
      </c>
      <c r="N21" s="3485" t="s">
        <v>3426</v>
      </c>
      <c r="O21" s="3485">
        <v>99</v>
      </c>
      <c r="P21" s="3487" t="s">
        <v>3466</v>
      </c>
      <c r="Q21" s="3488" t="s">
        <v>3467</v>
      </c>
      <c r="R21" s="3687"/>
      <c r="S21" s="3489">
        <v>3.3</v>
      </c>
      <c r="T21" s="3490" t="s">
        <v>3465</v>
      </c>
      <c r="U21" s="3526">
        <v>1168.2</v>
      </c>
      <c r="V21" s="3706"/>
      <c r="W21" s="3708"/>
      <c r="X21" s="3674"/>
      <c r="Y21" s="3493">
        <f t="shared" ref="Y21:Y36" si="1">ROUND(Z21/U21*10000,0)</f>
        <v>67127</v>
      </c>
      <c r="Z21" s="3489">
        <v>7841.78</v>
      </c>
      <c r="AA21" s="3494"/>
      <c r="AB21" s="3716"/>
    </row>
    <row r="22" spans="1:29" ht="30">
      <c r="A22" s="3483">
        <v>15</v>
      </c>
      <c r="B22" s="3678"/>
      <c r="C22" s="3678"/>
      <c r="D22" s="3678"/>
      <c r="E22" s="3678"/>
      <c r="F22" s="3678"/>
      <c r="G22" s="3678"/>
      <c r="H22" s="3484" t="s">
        <v>3468</v>
      </c>
      <c r="I22" s="3681"/>
      <c r="J22" s="3684"/>
      <c r="K22" s="3485" t="s">
        <v>21</v>
      </c>
      <c r="L22" s="3496" t="s">
        <v>21</v>
      </c>
      <c r="M22" s="3486" t="s">
        <v>3425</v>
      </c>
      <c r="N22" s="3485" t="s">
        <v>3426</v>
      </c>
      <c r="O22" s="3485">
        <v>99</v>
      </c>
      <c r="P22" s="3487" t="s">
        <v>3469</v>
      </c>
      <c r="Q22" s="3488" t="s">
        <v>3470</v>
      </c>
      <c r="R22" s="3687"/>
      <c r="S22" s="3489">
        <v>3.3</v>
      </c>
      <c r="T22" s="3490" t="s">
        <v>3465</v>
      </c>
      <c r="U22" s="3526">
        <v>2336.4</v>
      </c>
      <c r="V22" s="3706"/>
      <c r="W22" s="3708"/>
      <c r="X22" s="3674"/>
      <c r="Y22" s="3493">
        <f t="shared" si="1"/>
        <v>65076</v>
      </c>
      <c r="Z22" s="3489">
        <v>15204.36</v>
      </c>
      <c r="AA22" s="3494"/>
      <c r="AB22" s="3716"/>
    </row>
    <row r="23" spans="1:29" ht="30">
      <c r="A23" s="3483">
        <v>16</v>
      </c>
      <c r="B23" s="3678"/>
      <c r="C23" s="3678"/>
      <c r="D23" s="3678"/>
      <c r="E23" s="3678"/>
      <c r="F23" s="3678"/>
      <c r="G23" s="3678"/>
      <c r="H23" s="3689" t="s">
        <v>3471</v>
      </c>
      <c r="I23" s="3681"/>
      <c r="J23" s="3684"/>
      <c r="K23" s="3485" t="s">
        <v>21</v>
      </c>
      <c r="L23" s="3496" t="s">
        <v>21</v>
      </c>
      <c r="M23" s="3486" t="s">
        <v>3425</v>
      </c>
      <c r="N23" s="3485" t="s">
        <v>3426</v>
      </c>
      <c r="O23" s="3485">
        <v>99</v>
      </c>
      <c r="P23" s="3487" t="s">
        <v>3472</v>
      </c>
      <c r="Q23" s="3488" t="s">
        <v>3473</v>
      </c>
      <c r="R23" s="3687"/>
      <c r="S23" s="3489">
        <v>3.3</v>
      </c>
      <c r="T23" s="3490" t="s">
        <v>3430</v>
      </c>
      <c r="U23" s="3526">
        <v>146.69999999999999</v>
      </c>
      <c r="V23" s="3706"/>
      <c r="W23" s="3708"/>
      <c r="X23" s="3674"/>
      <c r="Y23" s="3493">
        <f t="shared" si="1"/>
        <v>60206</v>
      </c>
      <c r="Z23" s="3489">
        <v>883.22</v>
      </c>
      <c r="AA23" s="3494"/>
      <c r="AB23" s="3716"/>
      <c r="AC23" s="3474" t="s">
        <v>3474</v>
      </c>
    </row>
    <row r="24" spans="1:29" ht="30">
      <c r="A24" s="3483">
        <v>17</v>
      </c>
      <c r="B24" s="3678"/>
      <c r="C24" s="3678"/>
      <c r="D24" s="3678"/>
      <c r="E24" s="3678"/>
      <c r="F24" s="3678"/>
      <c r="G24" s="3678"/>
      <c r="H24" s="3690"/>
      <c r="I24" s="3681"/>
      <c r="J24" s="3684"/>
      <c r="K24" s="3485" t="s">
        <v>21</v>
      </c>
      <c r="L24" s="3496" t="s">
        <v>21</v>
      </c>
      <c r="M24" s="3486" t="s">
        <v>3425</v>
      </c>
      <c r="N24" s="3485" t="s">
        <v>3426</v>
      </c>
      <c r="O24" s="3485">
        <v>99</v>
      </c>
      <c r="P24" s="3487" t="s">
        <v>3475</v>
      </c>
      <c r="Q24" s="3488" t="s">
        <v>3476</v>
      </c>
      <c r="R24" s="3687"/>
      <c r="S24" s="3489">
        <v>3.3</v>
      </c>
      <c r="T24" s="3490" t="s">
        <v>3465</v>
      </c>
      <c r="U24" s="3526">
        <v>330.3</v>
      </c>
      <c r="V24" s="3706"/>
      <c r="W24" s="3708"/>
      <c r="X24" s="3674"/>
      <c r="Y24" s="3493">
        <f t="shared" si="1"/>
        <v>67484</v>
      </c>
      <c r="Z24" s="3489">
        <v>2229</v>
      </c>
      <c r="AA24" s="3494"/>
      <c r="AB24" s="3716"/>
    </row>
    <row r="25" spans="1:29" ht="30">
      <c r="A25" s="3483">
        <v>18</v>
      </c>
      <c r="B25" s="3678"/>
      <c r="C25" s="3678"/>
      <c r="D25" s="3678"/>
      <c r="E25" s="3678"/>
      <c r="F25" s="3678"/>
      <c r="G25" s="3678"/>
      <c r="H25" s="3691"/>
      <c r="I25" s="3682"/>
      <c r="J25" s="3684"/>
      <c r="K25" s="3485" t="s">
        <v>21</v>
      </c>
      <c r="L25" s="3496" t="s">
        <v>21</v>
      </c>
      <c r="M25" s="3486" t="s">
        <v>3425</v>
      </c>
      <c r="N25" s="3485" t="s">
        <v>3426</v>
      </c>
      <c r="O25" s="3485">
        <v>99</v>
      </c>
      <c r="P25" s="3487" t="s">
        <v>3477</v>
      </c>
      <c r="Q25" s="3488" t="s">
        <v>3476</v>
      </c>
      <c r="R25" s="3687"/>
      <c r="S25" s="3489">
        <v>3.3</v>
      </c>
      <c r="T25" s="3490" t="s">
        <v>3465</v>
      </c>
      <c r="U25" s="3526">
        <v>233.7</v>
      </c>
      <c r="V25" s="3706"/>
      <c r="W25" s="3695"/>
      <c r="X25" s="3675"/>
      <c r="Y25" s="3493">
        <f t="shared" si="1"/>
        <v>67484</v>
      </c>
      <c r="Z25" s="3489">
        <v>1577.1</v>
      </c>
      <c r="AA25" s="3494"/>
      <c r="AB25" s="3716"/>
    </row>
    <row r="26" spans="1:29" ht="30">
      <c r="A26" s="3483">
        <v>19</v>
      </c>
      <c r="B26" s="3678"/>
      <c r="C26" s="3678"/>
      <c r="D26" s="3678"/>
      <c r="E26" s="3678"/>
      <c r="F26" s="3678"/>
      <c r="G26" s="3678"/>
      <c r="H26" s="3484" t="s">
        <v>3478</v>
      </c>
      <c r="I26" s="3498" t="s">
        <v>3479</v>
      </c>
      <c r="J26" s="3684"/>
      <c r="K26" s="3485" t="s">
        <v>21</v>
      </c>
      <c r="L26" s="3496" t="s">
        <v>21</v>
      </c>
      <c r="M26" s="3486" t="s">
        <v>3425</v>
      </c>
      <c r="N26" s="3485" t="s">
        <v>3426</v>
      </c>
      <c r="O26" s="3485">
        <v>99</v>
      </c>
      <c r="P26" s="3485" t="s">
        <v>3480</v>
      </c>
      <c r="Q26" s="3488" t="s">
        <v>3481</v>
      </c>
      <c r="R26" s="3687"/>
      <c r="S26" s="3489">
        <v>3.3</v>
      </c>
      <c r="T26" s="3490" t="s">
        <v>3465</v>
      </c>
      <c r="U26" s="3525">
        <v>1911.2</v>
      </c>
      <c r="V26" s="3706"/>
      <c r="W26" s="3499">
        <v>18020000</v>
      </c>
      <c r="X26" s="3499">
        <v>5780000</v>
      </c>
      <c r="Y26" s="3493">
        <f t="shared" si="1"/>
        <v>59441</v>
      </c>
      <c r="Z26" s="3489">
        <v>11360.37</v>
      </c>
      <c r="AA26" s="3494"/>
      <c r="AB26" s="3716"/>
    </row>
    <row r="27" spans="1:29">
      <c r="A27" s="3483">
        <v>20</v>
      </c>
      <c r="B27" s="3678"/>
      <c r="C27" s="3678"/>
      <c r="D27" s="3678"/>
      <c r="E27" s="3678"/>
      <c r="F27" s="3678"/>
      <c r="G27" s="3678"/>
      <c r="H27" s="3689" t="s">
        <v>3482</v>
      </c>
      <c r="I27" s="3680" t="s">
        <v>3483</v>
      </c>
      <c r="J27" s="3684"/>
      <c r="K27" s="3692" t="s">
        <v>21</v>
      </c>
      <c r="L27" s="3692" t="s">
        <v>21</v>
      </c>
      <c r="M27" s="3699" t="s">
        <v>3425</v>
      </c>
      <c r="N27" s="3692" t="s">
        <v>3426</v>
      </c>
      <c r="O27" s="3485">
        <v>99</v>
      </c>
      <c r="P27" s="3485" t="s">
        <v>3484</v>
      </c>
      <c r="Q27" s="3488" t="s">
        <v>3485</v>
      </c>
      <c r="R27" s="3687"/>
      <c r="S27" s="3489">
        <v>3.3</v>
      </c>
      <c r="T27" s="3490" t="s">
        <v>3465</v>
      </c>
      <c r="U27" s="3526">
        <v>2866.8</v>
      </c>
      <c r="V27" s="3706"/>
      <c r="W27" s="3694">
        <v>33715000</v>
      </c>
      <c r="X27" s="3673">
        <v>18133530.780000001</v>
      </c>
      <c r="Y27" s="3493">
        <f>ROUND(Z27/U27*10000,0)</f>
        <v>58589</v>
      </c>
      <c r="Z27" s="3489">
        <v>16796.3</v>
      </c>
      <c r="AA27" s="3494"/>
      <c r="AB27" s="3716"/>
    </row>
    <row r="28" spans="1:29">
      <c r="A28" s="3483">
        <v>21</v>
      </c>
      <c r="B28" s="3678"/>
      <c r="C28" s="3678"/>
      <c r="D28" s="3678"/>
      <c r="E28" s="3678"/>
      <c r="F28" s="3678"/>
      <c r="G28" s="3678"/>
      <c r="H28" s="3691"/>
      <c r="I28" s="3682"/>
      <c r="J28" s="3684"/>
      <c r="K28" s="3693"/>
      <c r="L28" s="3693"/>
      <c r="M28" s="3701"/>
      <c r="N28" s="3693"/>
      <c r="O28" s="3485">
        <v>99</v>
      </c>
      <c r="P28" s="3485" t="s">
        <v>3486</v>
      </c>
      <c r="Q28" s="3488" t="s">
        <v>3476</v>
      </c>
      <c r="R28" s="3687"/>
      <c r="S28" s="3489">
        <v>3.3</v>
      </c>
      <c r="T28" s="3490" t="s">
        <v>3465</v>
      </c>
      <c r="U28" s="3526">
        <v>271.2</v>
      </c>
      <c r="V28" s="3706"/>
      <c r="W28" s="3695"/>
      <c r="X28" s="3675"/>
      <c r="Y28" s="3493">
        <f t="shared" si="1"/>
        <v>61241</v>
      </c>
      <c r="Z28" s="3489">
        <v>1660.85</v>
      </c>
      <c r="AA28" s="3494"/>
      <c r="AB28" s="3716"/>
    </row>
    <row r="29" spans="1:29">
      <c r="A29" s="3483">
        <v>22</v>
      </c>
      <c r="B29" s="3678"/>
      <c r="C29" s="3678"/>
      <c r="D29" s="3678"/>
      <c r="E29" s="3678"/>
      <c r="F29" s="3678"/>
      <c r="G29" s="3678"/>
      <c r="H29" s="3689" t="s">
        <v>3487</v>
      </c>
      <c r="I29" s="3696" t="s">
        <v>3488</v>
      </c>
      <c r="J29" s="3684"/>
      <c r="K29" s="3485" t="s">
        <v>21</v>
      </c>
      <c r="L29" s="3485" t="s">
        <v>21</v>
      </c>
      <c r="M29" s="3699" t="s">
        <v>3425</v>
      </c>
      <c r="N29" s="3692" t="s">
        <v>3426</v>
      </c>
      <c r="O29" s="3692">
        <v>99</v>
      </c>
      <c r="P29" s="3485" t="s">
        <v>3489</v>
      </c>
      <c r="Q29" s="3686" t="s">
        <v>3473</v>
      </c>
      <c r="R29" s="3687"/>
      <c r="S29" s="3670">
        <v>3.3</v>
      </c>
      <c r="T29" s="3709"/>
      <c r="U29" s="3526">
        <v>191.9</v>
      </c>
      <c r="V29" s="3706"/>
      <c r="W29" s="3717"/>
      <c r="X29" s="3720"/>
      <c r="Y29" s="3493">
        <f t="shared" si="1"/>
        <v>60206</v>
      </c>
      <c r="Z29" s="3489">
        <v>1155.3499999999999</v>
      </c>
      <c r="AA29" s="3494"/>
      <c r="AB29" s="3716"/>
    </row>
    <row r="30" spans="1:29">
      <c r="A30" s="3483">
        <v>23</v>
      </c>
      <c r="B30" s="3678"/>
      <c r="C30" s="3678"/>
      <c r="D30" s="3678"/>
      <c r="E30" s="3678"/>
      <c r="F30" s="3678"/>
      <c r="G30" s="3678"/>
      <c r="H30" s="3690"/>
      <c r="I30" s="3697"/>
      <c r="J30" s="3684"/>
      <c r="K30" s="3485" t="s">
        <v>21</v>
      </c>
      <c r="L30" s="3485" t="s">
        <v>21</v>
      </c>
      <c r="M30" s="3700"/>
      <c r="N30" s="3702"/>
      <c r="O30" s="3702"/>
      <c r="P30" s="3485" t="s">
        <v>3466</v>
      </c>
      <c r="Q30" s="3688"/>
      <c r="R30" s="3687"/>
      <c r="S30" s="3703"/>
      <c r="T30" s="3716"/>
      <c r="U30" s="3528">
        <v>99.3</v>
      </c>
      <c r="V30" s="3706"/>
      <c r="W30" s="3718"/>
      <c r="X30" s="3721"/>
      <c r="Y30" s="3493">
        <f t="shared" si="1"/>
        <v>60206</v>
      </c>
      <c r="Z30" s="3489">
        <v>597.85</v>
      </c>
      <c r="AA30" s="3494" t="e">
        <f>IF(X30-#REF!=0,"",(Z30-X30+#REF!)/(X30-#REF!)*100)</f>
        <v>#REF!</v>
      </c>
      <c r="AB30" s="3716"/>
      <c r="AC30" s="3474" t="s">
        <v>3490</v>
      </c>
    </row>
    <row r="31" spans="1:29">
      <c r="A31" s="3483">
        <v>24</v>
      </c>
      <c r="B31" s="3678"/>
      <c r="C31" s="3678"/>
      <c r="D31" s="3678"/>
      <c r="E31" s="3678"/>
      <c r="F31" s="3678"/>
      <c r="G31" s="3678"/>
      <c r="H31" s="3691"/>
      <c r="I31" s="3698"/>
      <c r="J31" s="3684"/>
      <c r="K31" s="3485" t="s">
        <v>21</v>
      </c>
      <c r="L31" s="3485" t="s">
        <v>21</v>
      </c>
      <c r="M31" s="3701"/>
      <c r="N31" s="3693"/>
      <c r="O31" s="3693"/>
      <c r="P31" s="3485" t="s">
        <v>3491</v>
      </c>
      <c r="Q31" s="3500" t="s">
        <v>3492</v>
      </c>
      <c r="R31" s="3687"/>
      <c r="S31" s="3704"/>
      <c r="T31" s="3710"/>
      <c r="U31" s="3528">
        <v>3822.4</v>
      </c>
      <c r="V31" s="3706"/>
      <c r="W31" s="3719"/>
      <c r="X31" s="3722"/>
      <c r="Y31" s="3493">
        <f t="shared" si="1"/>
        <v>56845</v>
      </c>
      <c r="Z31" s="3489">
        <v>21728.44</v>
      </c>
      <c r="AA31" s="3494"/>
      <c r="AB31" s="3716"/>
    </row>
    <row r="32" spans="1:29" ht="31.5">
      <c r="A32" s="3483">
        <v>25</v>
      </c>
      <c r="B32" s="3678"/>
      <c r="C32" s="3678"/>
      <c r="D32" s="3678"/>
      <c r="E32" s="3678"/>
      <c r="F32" s="3678"/>
      <c r="G32" s="3678"/>
      <c r="H32" s="3501" t="s">
        <v>3493</v>
      </c>
      <c r="I32" s="3502" t="s">
        <v>3494</v>
      </c>
      <c r="J32" s="3684"/>
      <c r="K32" s="3485" t="s">
        <v>21</v>
      </c>
      <c r="L32" s="3485" t="s">
        <v>21</v>
      </c>
      <c r="M32" s="3503" t="s">
        <v>3495</v>
      </c>
      <c r="N32" s="3504" t="s">
        <v>3426</v>
      </c>
      <c r="O32" s="3485">
        <v>99</v>
      </c>
      <c r="P32" s="3485" t="s">
        <v>3496</v>
      </c>
      <c r="Q32" s="3488" t="s">
        <v>3497</v>
      </c>
      <c r="R32" s="3687"/>
      <c r="S32" s="3489">
        <v>3.3</v>
      </c>
      <c r="T32" s="3490"/>
      <c r="U32" s="3491">
        <v>1168.2</v>
      </c>
      <c r="V32" s="3706"/>
      <c r="W32" s="3505"/>
      <c r="X32" s="3506"/>
      <c r="Y32" s="3493">
        <f>ROUND(Z32/U32*10000,0)</f>
        <v>58463</v>
      </c>
      <c r="Z32" s="3489">
        <v>6829.65</v>
      </c>
      <c r="AA32" s="3494"/>
      <c r="AB32" s="3716"/>
    </row>
    <row r="33" spans="1:29" ht="31.5">
      <c r="A33" s="3483">
        <v>26</v>
      </c>
      <c r="B33" s="3678"/>
      <c r="C33" s="3678"/>
      <c r="D33" s="3678"/>
      <c r="E33" s="3678"/>
      <c r="F33" s="3678"/>
      <c r="G33" s="3678"/>
      <c r="H33" s="3501" t="s">
        <v>3498</v>
      </c>
      <c r="I33" s="3502" t="s">
        <v>3494</v>
      </c>
      <c r="J33" s="3684"/>
      <c r="K33" s="3485" t="s">
        <v>21</v>
      </c>
      <c r="L33" s="3485" t="s">
        <v>21</v>
      </c>
      <c r="M33" s="3503" t="s">
        <v>3499</v>
      </c>
      <c r="N33" s="3504" t="s">
        <v>3426</v>
      </c>
      <c r="O33" s="3485">
        <v>99</v>
      </c>
      <c r="P33" s="3485" t="s">
        <v>3500</v>
      </c>
      <c r="Q33" s="3500" t="s">
        <v>3501</v>
      </c>
      <c r="R33" s="3687"/>
      <c r="S33" s="3489">
        <v>3.3</v>
      </c>
      <c r="T33" s="3490"/>
      <c r="U33" s="3491">
        <v>1168.2</v>
      </c>
      <c r="V33" s="3706"/>
      <c r="W33" s="3505"/>
      <c r="X33" s="3506"/>
      <c r="Y33" s="3493">
        <f t="shared" si="1"/>
        <v>58620</v>
      </c>
      <c r="Z33" s="3489">
        <v>6847.99</v>
      </c>
      <c r="AA33" s="3494"/>
      <c r="AB33" s="3716"/>
    </row>
    <row r="34" spans="1:29" ht="31.5">
      <c r="A34" s="3483">
        <v>27</v>
      </c>
      <c r="B34" s="3678"/>
      <c r="C34" s="3678"/>
      <c r="D34" s="3678"/>
      <c r="E34" s="3678"/>
      <c r="F34" s="3678"/>
      <c r="G34" s="3678"/>
      <c r="H34" s="3501" t="s">
        <v>3502</v>
      </c>
      <c r="I34" s="3502" t="s">
        <v>3494</v>
      </c>
      <c r="J34" s="3684"/>
      <c r="K34" s="3485" t="s">
        <v>21</v>
      </c>
      <c r="L34" s="3485" t="s">
        <v>21</v>
      </c>
      <c r="M34" s="3503" t="s">
        <v>3503</v>
      </c>
      <c r="N34" s="3504" t="s">
        <v>3426</v>
      </c>
      <c r="O34" s="3485">
        <v>99</v>
      </c>
      <c r="P34" s="3485" t="s">
        <v>3504</v>
      </c>
      <c r="Q34" s="3500" t="s">
        <v>3505</v>
      </c>
      <c r="R34" s="3687"/>
      <c r="S34" s="3489">
        <v>3.3</v>
      </c>
      <c r="T34" s="3507"/>
      <c r="U34" s="3491">
        <v>1168.2</v>
      </c>
      <c r="V34" s="3706"/>
      <c r="W34" s="3508"/>
      <c r="X34" s="3508"/>
      <c r="Y34" s="3493">
        <f t="shared" si="1"/>
        <v>58777</v>
      </c>
      <c r="Z34" s="3489">
        <v>6866.33</v>
      </c>
      <c r="AA34" s="3494"/>
      <c r="AB34" s="3716"/>
    </row>
    <row r="35" spans="1:29" ht="31.5">
      <c r="A35" s="3483">
        <v>28</v>
      </c>
      <c r="B35" s="3679"/>
      <c r="C35" s="3679"/>
      <c r="D35" s="3679"/>
      <c r="E35" s="3679"/>
      <c r="F35" s="3679"/>
      <c r="G35" s="3679"/>
      <c r="H35" s="3501" t="s">
        <v>3506</v>
      </c>
      <c r="I35" s="3502" t="s">
        <v>3494</v>
      </c>
      <c r="J35" s="3684"/>
      <c r="K35" s="3485" t="s">
        <v>21</v>
      </c>
      <c r="L35" s="3485" t="s">
        <v>21</v>
      </c>
      <c r="M35" s="3503" t="s">
        <v>3507</v>
      </c>
      <c r="N35" s="3504" t="s">
        <v>3426</v>
      </c>
      <c r="O35" s="3485">
        <v>99</v>
      </c>
      <c r="P35" s="3485" t="s">
        <v>3508</v>
      </c>
      <c r="Q35" s="3500" t="s">
        <v>3473</v>
      </c>
      <c r="R35" s="3687"/>
      <c r="S35" s="3489">
        <v>3.3</v>
      </c>
      <c r="T35" s="3507"/>
      <c r="U35" s="3489">
        <v>391.4</v>
      </c>
      <c r="V35" s="3706"/>
      <c r="W35" s="3508"/>
      <c r="X35" s="3508"/>
      <c r="Y35" s="3493">
        <f t="shared" si="1"/>
        <v>60206</v>
      </c>
      <c r="Z35" s="3489">
        <v>2356.46</v>
      </c>
      <c r="AA35" s="3494" t="e">
        <f>IF(X35-#REF!=0,"",(Z35-X35+#REF!)/(X35-#REF!)*100)</f>
        <v>#REF!</v>
      </c>
      <c r="AB35" s="3716"/>
      <c r="AC35" s="3474" t="s">
        <v>3509</v>
      </c>
    </row>
    <row r="36" spans="1:29" ht="31.5">
      <c r="A36" s="3483">
        <v>29</v>
      </c>
      <c r="B36" s="3501" t="s">
        <v>3510</v>
      </c>
      <c r="C36" s="3509" t="s">
        <v>3333</v>
      </c>
      <c r="D36" s="3510" t="s">
        <v>3511</v>
      </c>
      <c r="E36" s="3491">
        <v>190.76</v>
      </c>
      <c r="F36" s="3511" t="s">
        <v>3425</v>
      </c>
      <c r="G36" s="3478" t="s">
        <v>21</v>
      </c>
      <c r="H36" s="3501" t="s">
        <v>3512</v>
      </c>
      <c r="I36" s="3502" t="s">
        <v>3513</v>
      </c>
      <c r="J36" s="3684"/>
      <c r="K36" s="3485" t="s">
        <v>21</v>
      </c>
      <c r="L36" s="3485" t="s">
        <v>21</v>
      </c>
      <c r="M36" s="3503" t="s">
        <v>3425</v>
      </c>
      <c r="N36" s="3504" t="s">
        <v>3426</v>
      </c>
      <c r="O36" s="3485">
        <v>99</v>
      </c>
      <c r="P36" s="3485" t="s">
        <v>3443</v>
      </c>
      <c r="Q36" s="3488" t="s">
        <v>3514</v>
      </c>
      <c r="R36" s="3687"/>
      <c r="S36" s="3489">
        <v>3.3</v>
      </c>
      <c r="T36" s="3490"/>
      <c r="U36" s="3526">
        <v>1168.2</v>
      </c>
      <c r="V36" s="3707"/>
      <c r="W36" s="3505"/>
      <c r="X36" s="3506"/>
      <c r="Y36" s="3493">
        <f t="shared" si="1"/>
        <v>62712</v>
      </c>
      <c r="Z36" s="3489">
        <v>7326.02</v>
      </c>
      <c r="AA36" s="3494"/>
      <c r="AB36" s="3710"/>
    </row>
    <row r="37" spans="1:29" ht="30">
      <c r="A37" s="3483">
        <v>30</v>
      </c>
      <c r="B37" s="3689" t="str">
        <f t="shared" ref="B37:G37" si="2">B8</f>
        <v>朝全国用（96）字第01033号</v>
      </c>
      <c r="C37" s="3723" t="str">
        <f t="shared" si="2"/>
        <v>划拨</v>
      </c>
      <c r="D37" s="3725" t="str">
        <f t="shared" si="2"/>
        <v>中国服装研究设计中心（集团）</v>
      </c>
      <c r="E37" s="3727" t="str">
        <f t="shared" si="2"/>
        <v>7195.9</v>
      </c>
      <c r="F37" s="3729" t="str">
        <f t="shared" si="2"/>
        <v>朝阳区建国路99号</v>
      </c>
      <c r="G37" s="3677" t="str">
        <f t="shared" si="2"/>
        <v>科研、设计</v>
      </c>
      <c r="H37" s="3484" t="s">
        <v>3515</v>
      </c>
      <c r="I37" s="3498" t="s">
        <v>3515</v>
      </c>
      <c r="J37" s="3684"/>
      <c r="K37" s="3485" t="s">
        <v>3516</v>
      </c>
      <c r="L37" s="3485" t="s">
        <v>3516</v>
      </c>
      <c r="M37" s="3503" t="s">
        <v>3425</v>
      </c>
      <c r="N37" s="3504" t="s">
        <v>3426</v>
      </c>
      <c r="O37" s="3485">
        <v>99</v>
      </c>
      <c r="P37" s="3485"/>
      <c r="Q37" s="3512" t="s">
        <v>3517</v>
      </c>
      <c r="R37" s="3687"/>
      <c r="S37" s="3489" t="s">
        <v>3518</v>
      </c>
      <c r="T37" s="3490"/>
      <c r="U37" s="3513">
        <v>64</v>
      </c>
      <c r="V37" s="3514"/>
      <c r="W37" s="3505"/>
      <c r="X37" s="3506"/>
      <c r="Y37" s="3515">
        <f>ROUND(Z37/U37,2)</f>
        <v>20.059999999999999</v>
      </c>
      <c r="Z37" s="3489">
        <f>[2]评估结果的确定过程!Y32</f>
        <v>1283.8399999999999</v>
      </c>
      <c r="AA37" s="3494"/>
      <c r="AB37" s="3709" t="s">
        <v>3519</v>
      </c>
    </row>
    <row r="38" spans="1:29" ht="30">
      <c r="A38" s="3483">
        <v>31</v>
      </c>
      <c r="B38" s="3691"/>
      <c r="C38" s="3724"/>
      <c r="D38" s="3726"/>
      <c r="E38" s="3728"/>
      <c r="F38" s="3730"/>
      <c r="G38" s="3679"/>
      <c r="H38" s="3484" t="s">
        <v>3520</v>
      </c>
      <c r="I38" s="3498" t="s">
        <v>3520</v>
      </c>
      <c r="J38" s="3685"/>
      <c r="K38" s="3485" t="s">
        <v>3521</v>
      </c>
      <c r="L38" s="3485" t="s">
        <v>3521</v>
      </c>
      <c r="M38" s="3503" t="s">
        <v>3425</v>
      </c>
      <c r="N38" s="3504" t="s">
        <v>3426</v>
      </c>
      <c r="O38" s="3485">
        <v>99</v>
      </c>
      <c r="P38" s="3485"/>
      <c r="Q38" s="3512" t="s">
        <v>3522</v>
      </c>
      <c r="R38" s="3688"/>
      <c r="S38" s="3489" t="s">
        <v>3520</v>
      </c>
      <c r="T38" s="3490"/>
      <c r="U38" s="3513">
        <v>64</v>
      </c>
      <c r="V38" s="3514"/>
      <c r="W38" s="3505"/>
      <c r="X38" s="3506"/>
      <c r="Y38" s="3515">
        <f>ROUND(Z38/U38,2)</f>
        <v>22.29</v>
      </c>
      <c r="Z38" s="3489">
        <f>[2]评估结果的确定过程!Y33</f>
        <v>1426.56</v>
      </c>
      <c r="AA38" s="3494"/>
      <c r="AB38" s="3710"/>
    </row>
    <row r="39" spans="1:29">
      <c r="A39" s="3711" t="s">
        <v>3523</v>
      </c>
      <c r="B39" s="3712"/>
      <c r="C39" s="3712"/>
      <c r="D39" s="3712"/>
      <c r="E39" s="3712"/>
      <c r="F39" s="3712"/>
      <c r="G39" s="3712"/>
      <c r="H39" s="3712"/>
      <c r="I39" s="3712"/>
      <c r="J39" s="3665"/>
      <c r="K39" s="3507"/>
      <c r="L39" s="3507"/>
      <c r="M39" s="3507"/>
      <c r="N39" s="3507"/>
      <c r="O39" s="3507"/>
      <c r="P39" s="3507"/>
      <c r="Q39" s="3489"/>
      <c r="R39" s="3489"/>
      <c r="S39" s="3489"/>
      <c r="T39" s="3507"/>
      <c r="U39" s="3489">
        <f>SUM(U8:U36)</f>
        <v>36819.300000000003</v>
      </c>
      <c r="V39" s="3516"/>
      <c r="W39" s="3489">
        <f>SUM(W8:W38)</f>
        <v>151714822.94999999</v>
      </c>
      <c r="X39" s="3489">
        <f>SUM(X8:X38)</f>
        <v>572036881.49000001</v>
      </c>
      <c r="Y39" s="3489"/>
      <c r="Z39" s="3489">
        <f>SUM(Z8:Z38)</f>
        <v>242948.71999999997</v>
      </c>
      <c r="AA39" s="3494" t="e">
        <f>IF(X39-#REF!=0,"",(Z39-X39+#REF!)/(X39-#REF!)*100)</f>
        <v>#REF!</v>
      </c>
      <c r="AB39" s="3507"/>
    </row>
    <row r="40" spans="1:29">
      <c r="A40" s="3711" t="s">
        <v>3524</v>
      </c>
      <c r="B40" s="3712"/>
      <c r="C40" s="3712"/>
      <c r="D40" s="3712"/>
      <c r="E40" s="3712"/>
      <c r="F40" s="3712"/>
      <c r="G40" s="3712"/>
      <c r="H40" s="3712"/>
      <c r="I40" s="3712"/>
      <c r="J40" s="3665"/>
      <c r="K40" s="3507"/>
      <c r="L40" s="3507"/>
      <c r="M40" s="3507"/>
      <c r="N40" s="3507"/>
      <c r="O40" s="3507"/>
      <c r="P40" s="3507"/>
      <c r="Q40" s="3489"/>
      <c r="R40" s="3489"/>
      <c r="S40" s="3489"/>
      <c r="T40" s="3507"/>
      <c r="U40" s="3489"/>
      <c r="V40" s="3516"/>
      <c r="W40" s="3489"/>
      <c r="X40" s="3489">
        <v>0</v>
      </c>
      <c r="Y40" s="3489"/>
      <c r="Z40" s="3489"/>
      <c r="AA40" s="3494"/>
      <c r="AB40" s="3507"/>
    </row>
    <row r="41" spans="1:29">
      <c r="A41" s="3713" t="s">
        <v>3525</v>
      </c>
      <c r="B41" s="3714"/>
      <c r="C41" s="3714"/>
      <c r="D41" s="3714"/>
      <c r="E41" s="3714"/>
      <c r="F41" s="3714"/>
      <c r="G41" s="3714"/>
      <c r="H41" s="3714"/>
      <c r="I41" s="3714"/>
      <c r="J41" s="3715"/>
      <c r="K41" s="3517"/>
      <c r="L41" s="3517"/>
      <c r="M41" s="3517"/>
      <c r="N41" s="3518"/>
      <c r="O41" s="3518"/>
      <c r="P41" s="3518"/>
      <c r="Q41" s="3518"/>
      <c r="R41" s="3518"/>
      <c r="S41" s="3518"/>
      <c r="T41" s="3518"/>
      <c r="U41" s="3518"/>
      <c r="V41" s="3518"/>
      <c r="W41" s="3518">
        <f>W39-W40</f>
        <v>151714822.94999999</v>
      </c>
      <c r="X41" s="3518">
        <f>X39-X40</f>
        <v>572036881.49000001</v>
      </c>
      <c r="Y41" s="3519">
        <f>Y39</f>
        <v>0</v>
      </c>
      <c r="Z41" s="3519">
        <f>Z39</f>
        <v>242948.71999999997</v>
      </c>
      <c r="AA41" s="3494" t="e">
        <f>IF(X41-#REF!=0,"",(Z41-X41+#REF!)/(X41-#REF!)*100)</f>
        <v>#REF!</v>
      </c>
      <c r="AB41" s="3518"/>
    </row>
    <row r="42" spans="1:29">
      <c r="AC42" s="3474" t="s">
        <v>3526</v>
      </c>
    </row>
    <row r="43" spans="1:29">
      <c r="A43" s="3520" t="s">
        <v>3527</v>
      </c>
    </row>
    <row r="44" spans="1:29">
      <c r="J44" s="3495" t="s">
        <v>3528</v>
      </c>
      <c r="K44" s="3495" t="s">
        <v>3530</v>
      </c>
      <c r="L44" s="3474">
        <f>SUM(U14:U19)</f>
        <v>2758.4999999999995</v>
      </c>
      <c r="M44" s="3474">
        <v>1</v>
      </c>
      <c r="N44" s="3474">
        <v>12</v>
      </c>
      <c r="O44" s="3474">
        <f>N44*L44</f>
        <v>33101.999999999993</v>
      </c>
    </row>
    <row r="45" spans="1:29">
      <c r="B45" s="3521"/>
      <c r="C45" s="3521"/>
      <c r="K45" s="3474" t="s">
        <v>3531</v>
      </c>
      <c r="L45" s="3474">
        <f>U9+U20</f>
        <v>3387.3</v>
      </c>
      <c r="M45" s="3474">
        <v>0.7</v>
      </c>
      <c r="N45" s="3474">
        <f>N44*M45</f>
        <v>8.3999999999999986</v>
      </c>
      <c r="O45" s="3474">
        <f t="shared" ref="O45:O47" si="3">N45*L45</f>
        <v>28453.319999999996</v>
      </c>
    </row>
    <row r="46" spans="1:29">
      <c r="K46" s="3474" t="s">
        <v>3532</v>
      </c>
      <c r="L46" s="3474">
        <f>U10</f>
        <v>3686.7</v>
      </c>
      <c r="M46" s="3474">
        <v>0.6</v>
      </c>
      <c r="N46" s="3474">
        <f>N44*M46</f>
        <v>7.1999999999999993</v>
      </c>
      <c r="O46" s="3474">
        <f t="shared" si="3"/>
        <v>26544.239999999994</v>
      </c>
    </row>
    <row r="47" spans="1:29">
      <c r="K47" s="3474" t="s">
        <v>3533</v>
      </c>
      <c r="L47" s="3474">
        <f>U11</f>
        <v>2703.6</v>
      </c>
      <c r="M47" s="3474">
        <v>0.6</v>
      </c>
      <c r="N47" s="3474">
        <f>N44*M47</f>
        <v>7.1999999999999993</v>
      </c>
      <c r="O47" s="3474">
        <f t="shared" si="3"/>
        <v>19465.919999999998</v>
      </c>
    </row>
    <row r="48" spans="1:29">
      <c r="J48" s="3495" t="s">
        <v>3534</v>
      </c>
      <c r="L48" s="3474">
        <f>SUM(L44:L47)</f>
        <v>12536.1</v>
      </c>
      <c r="N48" s="3474">
        <f>O48/L48</f>
        <v>8.5804580371885972</v>
      </c>
      <c r="O48" s="3474">
        <f>SUM(O44:O47)</f>
        <v>107565.47999999998</v>
      </c>
    </row>
    <row r="49" spans="10:12">
      <c r="J49" s="3495" t="s">
        <v>3535</v>
      </c>
      <c r="L49" s="3474">
        <f>U39-L48</f>
        <v>24283.200000000004</v>
      </c>
    </row>
    <row r="67" spans="4:5" s="3474" customFormat="1">
      <c r="D67" s="3522"/>
    </row>
    <row r="68" spans="4:5" s="3474" customFormat="1">
      <c r="D68" s="3522"/>
    </row>
    <row r="69" spans="4:5" s="3474" customFormat="1">
      <c r="D69" s="3522"/>
    </row>
    <row r="70" spans="4:5" s="3474" customFormat="1">
      <c r="D70" s="3522"/>
    </row>
    <row r="71" spans="4:5" s="3474" customFormat="1">
      <c r="D71" s="3522"/>
      <c r="E71" s="3495"/>
    </row>
    <row r="72" spans="4:5" s="3474" customFormat="1">
      <c r="D72" s="3522"/>
      <c r="E72" s="3495"/>
    </row>
    <row r="73" spans="4:5" s="3474" customFormat="1">
      <c r="D73" s="3522"/>
      <c r="E73" s="3495"/>
    </row>
    <row r="74" spans="4:5" s="3474" customFormat="1">
      <c r="D74" s="3522"/>
      <c r="E74" s="3495"/>
    </row>
    <row r="75" spans="4:5" s="3474" customFormat="1">
      <c r="D75" s="3522"/>
      <c r="E75" s="3495"/>
    </row>
    <row r="76" spans="4:5" s="3474" customFormat="1">
      <c r="D76" s="3522"/>
      <c r="E76" s="3495"/>
    </row>
    <row r="77" spans="4:5" s="3474" customFormat="1">
      <c r="D77" s="3522"/>
      <c r="E77" s="3495"/>
    </row>
    <row r="78" spans="4:5" s="3474" customFormat="1">
      <c r="D78" s="3522"/>
      <c r="E78" s="3495"/>
    </row>
    <row r="79" spans="4:5" s="3474" customFormat="1">
      <c r="D79" s="3522"/>
      <c r="E79" s="3495"/>
    </row>
    <row r="80" spans="4:5" s="3474" customFormat="1">
      <c r="D80" s="3522"/>
      <c r="E80" s="3495"/>
    </row>
    <row r="81" spans="4:5" s="3474" customFormat="1">
      <c r="D81" s="3522"/>
      <c r="E81" s="3495"/>
    </row>
    <row r="82" spans="4:5" s="3474" customFormat="1">
      <c r="D82" s="3522"/>
      <c r="E82" s="3495"/>
    </row>
    <row r="83" spans="4:5" s="3474" customFormat="1">
      <c r="D83" s="3522"/>
      <c r="E83" s="3495"/>
    </row>
    <row r="84" spans="4:5" s="3474" customFormat="1">
      <c r="D84" s="3522"/>
      <c r="E84" s="3495"/>
    </row>
    <row r="85" spans="4:5" s="3474" customFormat="1">
      <c r="D85" s="3522"/>
      <c r="E85" s="3495"/>
    </row>
    <row r="86" spans="4:5" s="3474" customFormat="1">
      <c r="D86" s="3522"/>
      <c r="E86" s="3495"/>
    </row>
    <row r="87" spans="4:5" s="3474" customFormat="1">
      <c r="D87" s="3522"/>
      <c r="E87" s="3495"/>
    </row>
    <row r="88" spans="4:5" s="3474" customFormat="1">
      <c r="D88" s="3522"/>
      <c r="E88" s="3495"/>
    </row>
    <row r="89" spans="4:5" s="3474" customFormat="1">
      <c r="D89" s="3522"/>
      <c r="E89" s="3495"/>
    </row>
    <row r="90" spans="4:5" s="3474" customFormat="1">
      <c r="D90" s="3522"/>
      <c r="E90" s="3495"/>
    </row>
    <row r="91" spans="4:5" s="3474" customFormat="1">
      <c r="D91" s="3522"/>
      <c r="E91" s="3495"/>
    </row>
    <row r="92" spans="4:5" s="3474" customFormat="1">
      <c r="D92" s="3522"/>
      <c r="E92" s="3495"/>
    </row>
    <row r="93" spans="4:5" s="3474" customFormat="1">
      <c r="D93" s="3522"/>
      <c r="E93" s="3495"/>
    </row>
  </sheetData>
  <mergeCells count="71">
    <mergeCell ref="AB37:AB38"/>
    <mergeCell ref="A39:J39"/>
    <mergeCell ref="A40:J40"/>
    <mergeCell ref="A41:J41"/>
    <mergeCell ref="T29:T31"/>
    <mergeCell ref="W29:W31"/>
    <mergeCell ref="X29:X31"/>
    <mergeCell ref="B37:B38"/>
    <mergeCell ref="C37:C38"/>
    <mergeCell ref="D37:D38"/>
    <mergeCell ref="E37:E38"/>
    <mergeCell ref="F37:F38"/>
    <mergeCell ref="G37:G38"/>
    <mergeCell ref="AB8:AB36"/>
    <mergeCell ref="Y14:Y19"/>
    <mergeCell ref="Z14:Z19"/>
    <mergeCell ref="W27:W28"/>
    <mergeCell ref="X27:X28"/>
    <mergeCell ref="H29:H31"/>
    <mergeCell ref="I29:I31"/>
    <mergeCell ref="M29:M31"/>
    <mergeCell ref="N29:N31"/>
    <mergeCell ref="O29:O31"/>
    <mergeCell ref="Q29:Q30"/>
    <mergeCell ref="S29:S31"/>
    <mergeCell ref="M27:M28"/>
    <mergeCell ref="V8:V36"/>
    <mergeCell ref="W8:W19"/>
    <mergeCell ref="H9:H19"/>
    <mergeCell ref="L14:L19"/>
    <mergeCell ref="H20:H21"/>
    <mergeCell ref="W20:W25"/>
    <mergeCell ref="G8:G35"/>
    <mergeCell ref="I8:I25"/>
    <mergeCell ref="J8:J38"/>
    <mergeCell ref="R8:R38"/>
    <mergeCell ref="T6:T7"/>
    <mergeCell ref="H23:H25"/>
    <mergeCell ref="H27:H28"/>
    <mergeCell ref="I27:I28"/>
    <mergeCell ref="K27:K28"/>
    <mergeCell ref="L27:L28"/>
    <mergeCell ref="N27:N28"/>
    <mergeCell ref="R6:R7"/>
    <mergeCell ref="S6:S7"/>
    <mergeCell ref="B8:B35"/>
    <mergeCell ref="C8:C35"/>
    <mergeCell ref="D8:D35"/>
    <mergeCell ref="E8:E35"/>
    <mergeCell ref="F8:F35"/>
    <mergeCell ref="X20:X25"/>
    <mergeCell ref="AB6:AB7"/>
    <mergeCell ref="U6:U7"/>
    <mergeCell ref="V6:V7"/>
    <mergeCell ref="W6:X6"/>
    <mergeCell ref="A2:AA2"/>
    <mergeCell ref="A3:AB3"/>
    <mergeCell ref="A6:A7"/>
    <mergeCell ref="B6:G6"/>
    <mergeCell ref="H6:H7"/>
    <mergeCell ref="I6:I7"/>
    <mergeCell ref="J6:J7"/>
    <mergeCell ref="K6:K7"/>
    <mergeCell ref="L6:L7"/>
    <mergeCell ref="M6:M7"/>
    <mergeCell ref="Y6:Z6"/>
    <mergeCell ref="AA6:AA7"/>
    <mergeCell ref="N6:N7"/>
    <mergeCell ref="O6:O7"/>
    <mergeCell ref="P6:P7"/>
    <mergeCell ref="Q6:Q7"/>
  </mergeCells>
  <phoneticPr fontId="134" type="noConversion"/>
  <dataValidations count="1">
    <dataValidation type="list" allowBlank="1" showInputMessage="1" showErrorMessage="1" sqref="VSA19:VSA20 JC13 SY13 ACU13 AMQ13 AWM13 BGI13 BQE13 CAA13 CJW13 CTS13 DDO13 DNK13 DXG13 EHC13 EQY13 FAU13 FKQ13 FUM13 GEI13 GOE13 GYA13 HHW13 HRS13 IBO13 ILK13 IVG13 JFC13 JOY13 JYU13 KIQ13 KSM13 LCI13 LME13 LWA13 MFW13 MPS13 MZO13 NJK13 NTG13 ODC13 OMY13 OWU13 PGQ13 PQM13 QAI13 QKE13 QUA13 RDW13 RNS13 RXO13 SHK13 SRG13 TBC13 TKY13 TUU13 UEQ13 UOM13 UYI13 VIE13 VSA13 WBW13 WLS13 WVO13 WBW19:WBW20 JC22 SY22 ACU22 AMQ22 AWM22 BGI22 BQE22 CAA22 CJW22 CTS22 DDO22 DNK22 DXG22 EHC22 EQY22 FAU22 FKQ22 FUM22 GEI22 GOE22 GYA22 HHW22 HRS22 IBO22 ILK22 IVG22 JFC22 JOY22 JYU22 KIQ22 KSM22 LCI22 LME22 LWA22 MFW22 MPS22 MZO22 NJK22 NTG22 ODC22 OMY22 OWU22 PGQ22 PQM22 QAI22 QKE22 QUA22 RDW22 RNS22 RXO22 SHK22 SRG22 TBC22 TKY22 TUU22 UEQ22 UOM22 UYI22 VIE22 VSA22 WBW22 WLS22 WVO22 WLS19:WLS20 JC25 SY25 ACU25 AMQ25 AWM25 BGI25 BQE25 CAA25 CJW25 CTS25 DDO25 DNK25 DXG25 EHC25 EQY25 FAU25 FKQ25 FUM25 GEI25 GOE25 GYA25 HHW25 HRS25 IBO25 ILK25 IVG25 JFC25 JOY25 JYU25 KIQ25 KSM25 LCI25 LME25 LWA25 MFW25 MPS25 MZO25 NJK25 NTG25 ODC25 OMY25 OWU25 PGQ25 PQM25 QAI25 QKE25 QUA25 RDW25 RNS25 RXO25 SHK25 SRG25 TBC25 TKY25 TUU25 UEQ25 UOM25 UYI25 VIE25 VSA25 WBW25 WLS25 WVO25 J65557 JC65557 SY65557 ACU65557 AMQ65557 AWM65557 BGI65557 BQE65557 CAA65557 CJW65557 CTS65557 DDO65557 DNK65557 DXG65557 EHC65557 EQY65557 FAU65557 FKQ65557 FUM65557 GEI65557 GOE65557 GYA65557 HHW65557 HRS65557 IBO65557 ILK65557 IVG65557 JFC65557 JOY65557 JYU65557 KIQ65557 KSM65557 LCI65557 LME65557 LWA65557 MFW65557 MPS65557 MZO65557 NJK65557 NTG65557 ODC65557 OMY65557 OWU65557 PGQ65557 PQM65557 QAI65557 QKE65557 QUA65557 RDW65557 RNS65557 RXO65557 SHK65557 SRG65557 TBC65557 TKY65557 TUU65557 UEQ65557 UOM65557 UYI65557 VIE65557 VSA65557 WBW65557 WLS65557 WVO65557 J65563 JC65563 SY65563 ACU65563 AMQ65563 AWM65563 BGI65563 BQE65563 CAA65563 CJW65563 CTS65563 DDO65563 DNK65563 DXG65563 EHC65563 EQY65563 FAU65563 FKQ65563 FUM65563 GEI65563 GOE65563 GYA65563 HHW65563 HRS65563 IBO65563 ILK65563 IVG65563 JFC65563 JOY65563 JYU65563 KIQ65563 KSM65563 LCI65563 LME65563 LWA65563 MFW65563 MPS65563 MZO65563 NJK65563 NTG65563 ODC65563 OMY65563 OWU65563 PGQ65563 PQM65563 QAI65563 QKE65563 QUA65563 RDW65563 RNS65563 RXO65563 SHK65563 SRG65563 TBC65563 TKY65563 TUU65563 UEQ65563 UOM65563 UYI65563 VIE65563 VSA65563 WBW65563 WLS65563 WVO65563 J65565 JC65565 SY65565 ACU65565 AMQ65565 AWM65565 BGI65565 BQE65565 CAA65565 CJW65565 CTS65565 DDO65565 DNK65565 DXG65565 EHC65565 EQY65565 FAU65565 FKQ65565 FUM65565 GEI65565 GOE65565 GYA65565 HHW65565 HRS65565 IBO65565 ILK65565 IVG65565 JFC65565 JOY65565 JYU65565 KIQ65565 KSM65565 LCI65565 LME65565 LWA65565 MFW65565 MPS65565 MZO65565 NJK65565 NTG65565 ODC65565 OMY65565 OWU65565 PGQ65565 PQM65565 QAI65565 QKE65565 QUA65565 RDW65565 RNS65565 RXO65565 SHK65565 SRG65565 TBC65565 TKY65565 TUU65565 UEQ65565 UOM65565 UYI65565 VIE65565 VSA65565 WBW65565 WLS65565 WVO65565 J65567 JC65567 SY65567 ACU65567 AMQ65567 AWM65567 BGI65567 BQE65567 CAA65567 CJW65567 CTS65567 DDO65567 DNK65567 DXG65567 EHC65567 EQY65567 FAU65567 FKQ65567 FUM65567 GEI65567 GOE65567 GYA65567 HHW65567 HRS65567 IBO65567 ILK65567 IVG65567 JFC65567 JOY65567 JYU65567 KIQ65567 KSM65567 LCI65567 LME65567 LWA65567 MFW65567 MPS65567 MZO65567 NJK65567 NTG65567 ODC65567 OMY65567 OWU65567 PGQ65567 PQM65567 QAI65567 QKE65567 QUA65567 RDW65567 RNS65567 RXO65567 SHK65567 SRG65567 TBC65567 TKY65567 TUU65567 UEQ65567 UOM65567 UYI65567 VIE65567 VSA65567 WBW65567 WLS65567 WVO65567 J65569 JC65569 SY65569 ACU65569 AMQ65569 AWM65569 BGI65569 BQE65569 CAA65569 CJW65569 CTS65569 DDO65569 DNK65569 DXG65569 EHC65569 EQY65569 FAU65569 FKQ65569 FUM65569 GEI65569 GOE65569 GYA65569 HHW65569 HRS65569 IBO65569 ILK65569 IVG65569 JFC65569 JOY65569 JYU65569 KIQ65569 KSM65569 LCI65569 LME65569 LWA65569 MFW65569 MPS65569 MZO65569 NJK65569 NTG65569 ODC65569 OMY65569 OWU65569 PGQ65569 PQM65569 QAI65569 QKE65569 QUA65569 RDW65569 RNS65569 RXO65569 SHK65569 SRG65569 TBC65569 TKY65569 TUU65569 UEQ65569 UOM65569 UYI65569 VIE65569 VSA65569 WBW65569 WLS65569 WVO65569 J131093 JC131093 SY131093 ACU131093 AMQ131093 AWM131093 BGI131093 BQE131093 CAA131093 CJW131093 CTS131093 DDO131093 DNK131093 DXG131093 EHC131093 EQY131093 FAU131093 FKQ131093 FUM131093 GEI131093 GOE131093 GYA131093 HHW131093 HRS131093 IBO131093 ILK131093 IVG131093 JFC131093 JOY131093 JYU131093 KIQ131093 KSM131093 LCI131093 LME131093 LWA131093 MFW131093 MPS131093 MZO131093 NJK131093 NTG131093 ODC131093 OMY131093 OWU131093 PGQ131093 PQM131093 QAI131093 QKE131093 QUA131093 RDW131093 RNS131093 RXO131093 SHK131093 SRG131093 TBC131093 TKY131093 TUU131093 UEQ131093 UOM131093 UYI131093 VIE131093 VSA131093 WBW131093 WLS131093 WVO131093 J131099 JC131099 SY131099 ACU131099 AMQ131099 AWM131099 BGI131099 BQE131099 CAA131099 CJW131099 CTS131099 DDO131099 DNK131099 DXG131099 EHC131099 EQY131099 FAU131099 FKQ131099 FUM131099 GEI131099 GOE131099 GYA131099 HHW131099 HRS131099 IBO131099 ILK131099 IVG131099 JFC131099 JOY131099 JYU131099 KIQ131099 KSM131099 LCI131099 LME131099 LWA131099 MFW131099 MPS131099 MZO131099 NJK131099 NTG131099 ODC131099 OMY131099 OWU131099 PGQ131099 PQM131099 QAI131099 QKE131099 QUA131099 RDW131099 RNS131099 RXO131099 SHK131099 SRG131099 TBC131099 TKY131099 TUU131099 UEQ131099 UOM131099 UYI131099 VIE131099 VSA131099 WBW131099 WLS131099 WVO131099 J131101 JC131101 SY131101 ACU131101 AMQ131101 AWM131101 BGI131101 BQE131101 CAA131101 CJW131101 CTS131101 DDO131101 DNK131101 DXG131101 EHC131101 EQY131101 FAU131101 FKQ131101 FUM131101 GEI131101 GOE131101 GYA131101 HHW131101 HRS131101 IBO131101 ILK131101 IVG131101 JFC131101 JOY131101 JYU131101 KIQ131101 KSM131101 LCI131101 LME131101 LWA131101 MFW131101 MPS131101 MZO131101 NJK131101 NTG131101 ODC131101 OMY131101 OWU131101 PGQ131101 PQM131101 QAI131101 QKE131101 QUA131101 RDW131101 RNS131101 RXO131101 SHK131101 SRG131101 TBC131101 TKY131101 TUU131101 UEQ131101 UOM131101 UYI131101 VIE131101 VSA131101 WBW131101 WLS131101 WVO131101 J131103 JC131103 SY131103 ACU131103 AMQ131103 AWM131103 BGI131103 BQE131103 CAA131103 CJW131103 CTS131103 DDO131103 DNK131103 DXG131103 EHC131103 EQY131103 FAU131103 FKQ131103 FUM131103 GEI131103 GOE131103 GYA131103 HHW131103 HRS131103 IBO131103 ILK131103 IVG131103 JFC131103 JOY131103 JYU131103 KIQ131103 KSM131103 LCI131103 LME131103 LWA131103 MFW131103 MPS131103 MZO131103 NJK131103 NTG131103 ODC131103 OMY131103 OWU131103 PGQ131103 PQM131103 QAI131103 QKE131103 QUA131103 RDW131103 RNS131103 RXO131103 SHK131103 SRG131103 TBC131103 TKY131103 TUU131103 UEQ131103 UOM131103 UYI131103 VIE131103 VSA131103 WBW131103 WLS131103 WVO131103 J131105 JC131105 SY131105 ACU131105 AMQ131105 AWM131105 BGI131105 BQE131105 CAA131105 CJW131105 CTS131105 DDO131105 DNK131105 DXG131105 EHC131105 EQY131105 FAU131105 FKQ131105 FUM131105 GEI131105 GOE131105 GYA131105 HHW131105 HRS131105 IBO131105 ILK131105 IVG131105 JFC131105 JOY131105 JYU131105 KIQ131105 KSM131105 LCI131105 LME131105 LWA131105 MFW131105 MPS131105 MZO131105 NJK131105 NTG131105 ODC131105 OMY131105 OWU131105 PGQ131105 PQM131105 QAI131105 QKE131105 QUA131105 RDW131105 RNS131105 RXO131105 SHK131105 SRG131105 TBC131105 TKY131105 TUU131105 UEQ131105 UOM131105 UYI131105 VIE131105 VSA131105 WBW131105 WLS131105 WVO131105 J196629 JC196629 SY196629 ACU196629 AMQ196629 AWM196629 BGI196629 BQE196629 CAA196629 CJW196629 CTS196629 DDO196629 DNK196629 DXG196629 EHC196629 EQY196629 FAU196629 FKQ196629 FUM196629 GEI196629 GOE196629 GYA196629 HHW196629 HRS196629 IBO196629 ILK196629 IVG196629 JFC196629 JOY196629 JYU196629 KIQ196629 KSM196629 LCI196629 LME196629 LWA196629 MFW196629 MPS196629 MZO196629 NJK196629 NTG196629 ODC196629 OMY196629 OWU196629 PGQ196629 PQM196629 QAI196629 QKE196629 QUA196629 RDW196629 RNS196629 RXO196629 SHK196629 SRG196629 TBC196629 TKY196629 TUU196629 UEQ196629 UOM196629 UYI196629 VIE196629 VSA196629 WBW196629 WLS196629 WVO196629 J196635 JC196635 SY196635 ACU196635 AMQ196635 AWM196635 BGI196635 BQE196635 CAA196635 CJW196635 CTS196635 DDO196635 DNK196635 DXG196635 EHC196635 EQY196635 FAU196635 FKQ196635 FUM196635 GEI196635 GOE196635 GYA196635 HHW196635 HRS196635 IBO196635 ILK196635 IVG196635 JFC196635 JOY196635 JYU196635 KIQ196635 KSM196635 LCI196635 LME196635 LWA196635 MFW196635 MPS196635 MZO196635 NJK196635 NTG196635 ODC196635 OMY196635 OWU196635 PGQ196635 PQM196635 QAI196635 QKE196635 QUA196635 RDW196635 RNS196635 RXO196635 SHK196635 SRG196635 TBC196635 TKY196635 TUU196635 UEQ196635 UOM196635 UYI196635 VIE196635 VSA196635 WBW196635 WLS196635 WVO196635 J196637 JC196637 SY196637 ACU196637 AMQ196637 AWM196637 BGI196637 BQE196637 CAA196637 CJW196637 CTS196637 DDO196637 DNK196637 DXG196637 EHC196637 EQY196637 FAU196637 FKQ196637 FUM196637 GEI196637 GOE196637 GYA196637 HHW196637 HRS196637 IBO196637 ILK196637 IVG196637 JFC196637 JOY196637 JYU196637 KIQ196637 KSM196637 LCI196637 LME196637 LWA196637 MFW196637 MPS196637 MZO196637 NJK196637 NTG196637 ODC196637 OMY196637 OWU196637 PGQ196637 PQM196637 QAI196637 QKE196637 QUA196637 RDW196637 RNS196637 RXO196637 SHK196637 SRG196637 TBC196637 TKY196637 TUU196637 UEQ196637 UOM196637 UYI196637 VIE196637 VSA196637 WBW196637 WLS196637 WVO196637 J196639 JC196639 SY196639 ACU196639 AMQ196639 AWM196639 BGI196639 BQE196639 CAA196639 CJW196639 CTS196639 DDO196639 DNK196639 DXG196639 EHC196639 EQY196639 FAU196639 FKQ196639 FUM196639 GEI196639 GOE196639 GYA196639 HHW196639 HRS196639 IBO196639 ILK196639 IVG196639 JFC196639 JOY196639 JYU196639 KIQ196639 KSM196639 LCI196639 LME196639 LWA196639 MFW196639 MPS196639 MZO196639 NJK196639 NTG196639 ODC196639 OMY196639 OWU196639 PGQ196639 PQM196639 QAI196639 QKE196639 QUA196639 RDW196639 RNS196639 RXO196639 SHK196639 SRG196639 TBC196639 TKY196639 TUU196639 UEQ196639 UOM196639 UYI196639 VIE196639 VSA196639 WBW196639 WLS196639 WVO196639 J196641 JC196641 SY196641 ACU196641 AMQ196641 AWM196641 BGI196641 BQE196641 CAA196641 CJW196641 CTS196641 DDO196641 DNK196641 DXG196641 EHC196641 EQY196641 FAU196641 FKQ196641 FUM196641 GEI196641 GOE196641 GYA196641 HHW196641 HRS196641 IBO196641 ILK196641 IVG196641 JFC196641 JOY196641 JYU196641 KIQ196641 KSM196641 LCI196641 LME196641 LWA196641 MFW196641 MPS196641 MZO196641 NJK196641 NTG196641 ODC196641 OMY196641 OWU196641 PGQ196641 PQM196641 QAI196641 QKE196641 QUA196641 RDW196641 RNS196641 RXO196641 SHK196641 SRG196641 TBC196641 TKY196641 TUU196641 UEQ196641 UOM196641 UYI196641 VIE196641 VSA196641 WBW196641 WLS196641 WVO196641 J262165 JC262165 SY262165 ACU262165 AMQ262165 AWM262165 BGI262165 BQE262165 CAA262165 CJW262165 CTS262165 DDO262165 DNK262165 DXG262165 EHC262165 EQY262165 FAU262165 FKQ262165 FUM262165 GEI262165 GOE262165 GYA262165 HHW262165 HRS262165 IBO262165 ILK262165 IVG262165 JFC262165 JOY262165 JYU262165 KIQ262165 KSM262165 LCI262165 LME262165 LWA262165 MFW262165 MPS262165 MZO262165 NJK262165 NTG262165 ODC262165 OMY262165 OWU262165 PGQ262165 PQM262165 QAI262165 QKE262165 QUA262165 RDW262165 RNS262165 RXO262165 SHK262165 SRG262165 TBC262165 TKY262165 TUU262165 UEQ262165 UOM262165 UYI262165 VIE262165 VSA262165 WBW262165 WLS262165 WVO262165 J262171 JC262171 SY262171 ACU262171 AMQ262171 AWM262171 BGI262171 BQE262171 CAA262171 CJW262171 CTS262171 DDO262171 DNK262171 DXG262171 EHC262171 EQY262171 FAU262171 FKQ262171 FUM262171 GEI262171 GOE262171 GYA262171 HHW262171 HRS262171 IBO262171 ILK262171 IVG262171 JFC262171 JOY262171 JYU262171 KIQ262171 KSM262171 LCI262171 LME262171 LWA262171 MFW262171 MPS262171 MZO262171 NJK262171 NTG262171 ODC262171 OMY262171 OWU262171 PGQ262171 PQM262171 QAI262171 QKE262171 QUA262171 RDW262171 RNS262171 RXO262171 SHK262171 SRG262171 TBC262171 TKY262171 TUU262171 UEQ262171 UOM262171 UYI262171 VIE262171 VSA262171 WBW262171 WLS262171 WVO262171 J262173 JC262173 SY262173 ACU262173 AMQ262173 AWM262173 BGI262173 BQE262173 CAA262173 CJW262173 CTS262173 DDO262173 DNK262173 DXG262173 EHC262173 EQY262173 FAU262173 FKQ262173 FUM262173 GEI262173 GOE262173 GYA262173 HHW262173 HRS262173 IBO262173 ILK262173 IVG262173 JFC262173 JOY262173 JYU262173 KIQ262173 KSM262173 LCI262173 LME262173 LWA262173 MFW262173 MPS262173 MZO262173 NJK262173 NTG262173 ODC262173 OMY262173 OWU262173 PGQ262173 PQM262173 QAI262173 QKE262173 QUA262173 RDW262173 RNS262173 RXO262173 SHK262173 SRG262173 TBC262173 TKY262173 TUU262173 UEQ262173 UOM262173 UYI262173 VIE262173 VSA262173 WBW262173 WLS262173 WVO262173 J262175 JC262175 SY262175 ACU262175 AMQ262175 AWM262175 BGI262175 BQE262175 CAA262175 CJW262175 CTS262175 DDO262175 DNK262175 DXG262175 EHC262175 EQY262175 FAU262175 FKQ262175 FUM262175 GEI262175 GOE262175 GYA262175 HHW262175 HRS262175 IBO262175 ILK262175 IVG262175 JFC262175 JOY262175 JYU262175 KIQ262175 KSM262175 LCI262175 LME262175 LWA262175 MFW262175 MPS262175 MZO262175 NJK262175 NTG262175 ODC262175 OMY262175 OWU262175 PGQ262175 PQM262175 QAI262175 QKE262175 QUA262175 RDW262175 RNS262175 RXO262175 SHK262175 SRG262175 TBC262175 TKY262175 TUU262175 UEQ262175 UOM262175 UYI262175 VIE262175 VSA262175 WBW262175 WLS262175 WVO262175 J262177 JC262177 SY262177 ACU262177 AMQ262177 AWM262177 BGI262177 BQE262177 CAA262177 CJW262177 CTS262177 DDO262177 DNK262177 DXG262177 EHC262177 EQY262177 FAU262177 FKQ262177 FUM262177 GEI262177 GOE262177 GYA262177 HHW262177 HRS262177 IBO262177 ILK262177 IVG262177 JFC262177 JOY262177 JYU262177 KIQ262177 KSM262177 LCI262177 LME262177 LWA262177 MFW262177 MPS262177 MZO262177 NJK262177 NTG262177 ODC262177 OMY262177 OWU262177 PGQ262177 PQM262177 QAI262177 QKE262177 QUA262177 RDW262177 RNS262177 RXO262177 SHK262177 SRG262177 TBC262177 TKY262177 TUU262177 UEQ262177 UOM262177 UYI262177 VIE262177 VSA262177 WBW262177 WLS262177 WVO262177 J327701 JC327701 SY327701 ACU327701 AMQ327701 AWM327701 BGI327701 BQE327701 CAA327701 CJW327701 CTS327701 DDO327701 DNK327701 DXG327701 EHC327701 EQY327701 FAU327701 FKQ327701 FUM327701 GEI327701 GOE327701 GYA327701 HHW327701 HRS327701 IBO327701 ILK327701 IVG327701 JFC327701 JOY327701 JYU327701 KIQ327701 KSM327701 LCI327701 LME327701 LWA327701 MFW327701 MPS327701 MZO327701 NJK327701 NTG327701 ODC327701 OMY327701 OWU327701 PGQ327701 PQM327701 QAI327701 QKE327701 QUA327701 RDW327701 RNS327701 RXO327701 SHK327701 SRG327701 TBC327701 TKY327701 TUU327701 UEQ327701 UOM327701 UYI327701 VIE327701 VSA327701 WBW327701 WLS327701 WVO327701 J327707 JC327707 SY327707 ACU327707 AMQ327707 AWM327707 BGI327707 BQE327707 CAA327707 CJW327707 CTS327707 DDO327707 DNK327707 DXG327707 EHC327707 EQY327707 FAU327707 FKQ327707 FUM327707 GEI327707 GOE327707 GYA327707 HHW327707 HRS327707 IBO327707 ILK327707 IVG327707 JFC327707 JOY327707 JYU327707 KIQ327707 KSM327707 LCI327707 LME327707 LWA327707 MFW327707 MPS327707 MZO327707 NJK327707 NTG327707 ODC327707 OMY327707 OWU327707 PGQ327707 PQM327707 QAI327707 QKE327707 QUA327707 RDW327707 RNS327707 RXO327707 SHK327707 SRG327707 TBC327707 TKY327707 TUU327707 UEQ327707 UOM327707 UYI327707 VIE327707 VSA327707 WBW327707 WLS327707 WVO327707 J327709 JC327709 SY327709 ACU327709 AMQ327709 AWM327709 BGI327709 BQE327709 CAA327709 CJW327709 CTS327709 DDO327709 DNK327709 DXG327709 EHC327709 EQY327709 FAU327709 FKQ327709 FUM327709 GEI327709 GOE327709 GYA327709 HHW327709 HRS327709 IBO327709 ILK327709 IVG327709 JFC327709 JOY327709 JYU327709 KIQ327709 KSM327709 LCI327709 LME327709 LWA327709 MFW327709 MPS327709 MZO327709 NJK327709 NTG327709 ODC327709 OMY327709 OWU327709 PGQ327709 PQM327709 QAI327709 QKE327709 QUA327709 RDW327709 RNS327709 RXO327709 SHK327709 SRG327709 TBC327709 TKY327709 TUU327709 UEQ327709 UOM327709 UYI327709 VIE327709 VSA327709 WBW327709 WLS327709 WVO327709 J327711 JC327711 SY327711 ACU327711 AMQ327711 AWM327711 BGI327711 BQE327711 CAA327711 CJW327711 CTS327711 DDO327711 DNK327711 DXG327711 EHC327711 EQY327711 FAU327711 FKQ327711 FUM327711 GEI327711 GOE327711 GYA327711 HHW327711 HRS327711 IBO327711 ILK327711 IVG327711 JFC327711 JOY327711 JYU327711 KIQ327711 KSM327711 LCI327711 LME327711 LWA327711 MFW327711 MPS327711 MZO327711 NJK327711 NTG327711 ODC327711 OMY327711 OWU327711 PGQ327711 PQM327711 QAI327711 QKE327711 QUA327711 RDW327711 RNS327711 RXO327711 SHK327711 SRG327711 TBC327711 TKY327711 TUU327711 UEQ327711 UOM327711 UYI327711 VIE327711 VSA327711 WBW327711 WLS327711 WVO327711 J327713 JC327713 SY327713 ACU327713 AMQ327713 AWM327713 BGI327713 BQE327713 CAA327713 CJW327713 CTS327713 DDO327713 DNK327713 DXG327713 EHC327713 EQY327713 FAU327713 FKQ327713 FUM327713 GEI327713 GOE327713 GYA327713 HHW327713 HRS327713 IBO327713 ILK327713 IVG327713 JFC327713 JOY327713 JYU327713 KIQ327713 KSM327713 LCI327713 LME327713 LWA327713 MFW327713 MPS327713 MZO327713 NJK327713 NTG327713 ODC327713 OMY327713 OWU327713 PGQ327713 PQM327713 QAI327713 QKE327713 QUA327713 RDW327713 RNS327713 RXO327713 SHK327713 SRG327713 TBC327713 TKY327713 TUU327713 UEQ327713 UOM327713 UYI327713 VIE327713 VSA327713 WBW327713 WLS327713 WVO327713 J393237 JC393237 SY393237 ACU393237 AMQ393237 AWM393237 BGI393237 BQE393237 CAA393237 CJW393237 CTS393237 DDO393237 DNK393237 DXG393237 EHC393237 EQY393237 FAU393237 FKQ393237 FUM393237 GEI393237 GOE393237 GYA393237 HHW393237 HRS393237 IBO393237 ILK393237 IVG393237 JFC393237 JOY393237 JYU393237 KIQ393237 KSM393237 LCI393237 LME393237 LWA393237 MFW393237 MPS393237 MZO393237 NJK393237 NTG393237 ODC393237 OMY393237 OWU393237 PGQ393237 PQM393237 QAI393237 QKE393237 QUA393237 RDW393237 RNS393237 RXO393237 SHK393237 SRG393237 TBC393237 TKY393237 TUU393237 UEQ393237 UOM393237 UYI393237 VIE393237 VSA393237 WBW393237 WLS393237 WVO393237 J393243 JC393243 SY393243 ACU393243 AMQ393243 AWM393243 BGI393243 BQE393243 CAA393243 CJW393243 CTS393243 DDO393243 DNK393243 DXG393243 EHC393243 EQY393243 FAU393243 FKQ393243 FUM393243 GEI393243 GOE393243 GYA393243 HHW393243 HRS393243 IBO393243 ILK393243 IVG393243 JFC393243 JOY393243 JYU393243 KIQ393243 KSM393243 LCI393243 LME393243 LWA393243 MFW393243 MPS393243 MZO393243 NJK393243 NTG393243 ODC393243 OMY393243 OWU393243 PGQ393243 PQM393243 QAI393243 QKE393243 QUA393243 RDW393243 RNS393243 RXO393243 SHK393243 SRG393243 TBC393243 TKY393243 TUU393243 UEQ393243 UOM393243 UYI393243 VIE393243 VSA393243 WBW393243 WLS393243 WVO393243 J393245 JC393245 SY393245 ACU393245 AMQ393245 AWM393245 BGI393245 BQE393245 CAA393245 CJW393245 CTS393245 DDO393245 DNK393245 DXG393245 EHC393245 EQY393245 FAU393245 FKQ393245 FUM393245 GEI393245 GOE393245 GYA393245 HHW393245 HRS393245 IBO393245 ILK393245 IVG393245 JFC393245 JOY393245 JYU393245 KIQ393245 KSM393245 LCI393245 LME393245 LWA393245 MFW393245 MPS393245 MZO393245 NJK393245 NTG393245 ODC393245 OMY393245 OWU393245 PGQ393245 PQM393245 QAI393245 QKE393245 QUA393245 RDW393245 RNS393245 RXO393245 SHK393245 SRG393245 TBC393245 TKY393245 TUU393245 UEQ393245 UOM393245 UYI393245 VIE393245 VSA393245 WBW393245 WLS393245 WVO393245 J393247 JC393247 SY393247 ACU393247 AMQ393247 AWM393247 BGI393247 BQE393247 CAA393247 CJW393247 CTS393247 DDO393247 DNK393247 DXG393247 EHC393247 EQY393247 FAU393247 FKQ393247 FUM393247 GEI393247 GOE393247 GYA393247 HHW393247 HRS393247 IBO393247 ILK393247 IVG393247 JFC393247 JOY393247 JYU393247 KIQ393247 KSM393247 LCI393247 LME393247 LWA393247 MFW393247 MPS393247 MZO393247 NJK393247 NTG393247 ODC393247 OMY393247 OWU393247 PGQ393247 PQM393247 QAI393247 QKE393247 QUA393247 RDW393247 RNS393247 RXO393247 SHK393247 SRG393247 TBC393247 TKY393247 TUU393247 UEQ393247 UOM393247 UYI393247 VIE393247 VSA393247 WBW393247 WLS393247 WVO393247 J393249 JC393249 SY393249 ACU393249 AMQ393249 AWM393249 BGI393249 BQE393249 CAA393249 CJW393249 CTS393249 DDO393249 DNK393249 DXG393249 EHC393249 EQY393249 FAU393249 FKQ393249 FUM393249 GEI393249 GOE393249 GYA393249 HHW393249 HRS393249 IBO393249 ILK393249 IVG393249 JFC393249 JOY393249 JYU393249 KIQ393249 KSM393249 LCI393249 LME393249 LWA393249 MFW393249 MPS393249 MZO393249 NJK393249 NTG393249 ODC393249 OMY393249 OWU393249 PGQ393249 PQM393249 QAI393249 QKE393249 QUA393249 RDW393249 RNS393249 RXO393249 SHK393249 SRG393249 TBC393249 TKY393249 TUU393249 UEQ393249 UOM393249 UYI393249 VIE393249 VSA393249 WBW393249 WLS393249 WVO393249 J458773 JC458773 SY458773 ACU458773 AMQ458773 AWM458773 BGI458773 BQE458773 CAA458773 CJW458773 CTS458773 DDO458773 DNK458773 DXG458773 EHC458773 EQY458773 FAU458773 FKQ458773 FUM458773 GEI458773 GOE458773 GYA458773 HHW458773 HRS458773 IBO458773 ILK458773 IVG458773 JFC458773 JOY458773 JYU458773 KIQ458773 KSM458773 LCI458773 LME458773 LWA458773 MFW458773 MPS458773 MZO458773 NJK458773 NTG458773 ODC458773 OMY458773 OWU458773 PGQ458773 PQM458773 QAI458773 QKE458773 QUA458773 RDW458773 RNS458773 RXO458773 SHK458773 SRG458773 TBC458773 TKY458773 TUU458773 UEQ458773 UOM458773 UYI458773 VIE458773 VSA458773 WBW458773 WLS458773 WVO458773 J458779 JC458779 SY458779 ACU458779 AMQ458779 AWM458779 BGI458779 BQE458779 CAA458779 CJW458779 CTS458779 DDO458779 DNK458779 DXG458779 EHC458779 EQY458779 FAU458779 FKQ458779 FUM458779 GEI458779 GOE458779 GYA458779 HHW458779 HRS458779 IBO458779 ILK458779 IVG458779 JFC458779 JOY458779 JYU458779 KIQ458779 KSM458779 LCI458779 LME458779 LWA458779 MFW458779 MPS458779 MZO458779 NJK458779 NTG458779 ODC458779 OMY458779 OWU458779 PGQ458779 PQM458779 QAI458779 QKE458779 QUA458779 RDW458779 RNS458779 RXO458779 SHK458779 SRG458779 TBC458779 TKY458779 TUU458779 UEQ458779 UOM458779 UYI458779 VIE458779 VSA458779 WBW458779 WLS458779 WVO458779 J458781 JC458781 SY458781 ACU458781 AMQ458781 AWM458781 BGI458781 BQE458781 CAA458781 CJW458781 CTS458781 DDO458781 DNK458781 DXG458781 EHC458781 EQY458781 FAU458781 FKQ458781 FUM458781 GEI458781 GOE458781 GYA458781 HHW458781 HRS458781 IBO458781 ILK458781 IVG458781 JFC458781 JOY458781 JYU458781 KIQ458781 KSM458781 LCI458781 LME458781 LWA458781 MFW458781 MPS458781 MZO458781 NJK458781 NTG458781 ODC458781 OMY458781 OWU458781 PGQ458781 PQM458781 QAI458781 QKE458781 QUA458781 RDW458781 RNS458781 RXO458781 SHK458781 SRG458781 TBC458781 TKY458781 TUU458781 UEQ458781 UOM458781 UYI458781 VIE458781 VSA458781 WBW458781 WLS458781 WVO458781 J458783 JC458783 SY458783 ACU458783 AMQ458783 AWM458783 BGI458783 BQE458783 CAA458783 CJW458783 CTS458783 DDO458783 DNK458783 DXG458783 EHC458783 EQY458783 FAU458783 FKQ458783 FUM458783 GEI458783 GOE458783 GYA458783 HHW458783 HRS458783 IBO458783 ILK458783 IVG458783 JFC458783 JOY458783 JYU458783 KIQ458783 KSM458783 LCI458783 LME458783 LWA458783 MFW458783 MPS458783 MZO458783 NJK458783 NTG458783 ODC458783 OMY458783 OWU458783 PGQ458783 PQM458783 QAI458783 QKE458783 QUA458783 RDW458783 RNS458783 RXO458783 SHK458783 SRG458783 TBC458783 TKY458783 TUU458783 UEQ458783 UOM458783 UYI458783 VIE458783 VSA458783 WBW458783 WLS458783 WVO458783 J458785 JC458785 SY458785 ACU458785 AMQ458785 AWM458785 BGI458785 BQE458785 CAA458785 CJW458785 CTS458785 DDO458785 DNK458785 DXG458785 EHC458785 EQY458785 FAU458785 FKQ458785 FUM458785 GEI458785 GOE458785 GYA458785 HHW458785 HRS458785 IBO458785 ILK458785 IVG458785 JFC458785 JOY458785 JYU458785 KIQ458785 KSM458785 LCI458785 LME458785 LWA458785 MFW458785 MPS458785 MZO458785 NJK458785 NTG458785 ODC458785 OMY458785 OWU458785 PGQ458785 PQM458785 QAI458785 QKE458785 QUA458785 RDW458785 RNS458785 RXO458785 SHK458785 SRG458785 TBC458785 TKY458785 TUU458785 UEQ458785 UOM458785 UYI458785 VIE458785 VSA458785 WBW458785 WLS458785 WVO458785 J524309 JC524309 SY524309 ACU524309 AMQ524309 AWM524309 BGI524309 BQE524309 CAA524309 CJW524309 CTS524309 DDO524309 DNK524309 DXG524309 EHC524309 EQY524309 FAU524309 FKQ524309 FUM524309 GEI524309 GOE524309 GYA524309 HHW524309 HRS524309 IBO524309 ILK524309 IVG524309 JFC524309 JOY524309 JYU524309 KIQ524309 KSM524309 LCI524309 LME524309 LWA524309 MFW524309 MPS524309 MZO524309 NJK524309 NTG524309 ODC524309 OMY524309 OWU524309 PGQ524309 PQM524309 QAI524309 QKE524309 QUA524309 RDW524309 RNS524309 RXO524309 SHK524309 SRG524309 TBC524309 TKY524309 TUU524309 UEQ524309 UOM524309 UYI524309 VIE524309 VSA524309 WBW524309 WLS524309 WVO524309 J524315 JC524315 SY524315 ACU524315 AMQ524315 AWM524315 BGI524315 BQE524315 CAA524315 CJW524315 CTS524315 DDO524315 DNK524315 DXG524315 EHC524315 EQY524315 FAU524315 FKQ524315 FUM524315 GEI524315 GOE524315 GYA524315 HHW524315 HRS524315 IBO524315 ILK524315 IVG524315 JFC524315 JOY524315 JYU524315 KIQ524315 KSM524315 LCI524315 LME524315 LWA524315 MFW524315 MPS524315 MZO524315 NJK524315 NTG524315 ODC524315 OMY524315 OWU524315 PGQ524315 PQM524315 QAI524315 QKE524315 QUA524315 RDW524315 RNS524315 RXO524315 SHK524315 SRG524315 TBC524315 TKY524315 TUU524315 UEQ524315 UOM524315 UYI524315 VIE524315 VSA524315 WBW524315 WLS524315 WVO524315 J524317 JC524317 SY524317 ACU524317 AMQ524317 AWM524317 BGI524317 BQE524317 CAA524317 CJW524317 CTS524317 DDO524317 DNK524317 DXG524317 EHC524317 EQY524317 FAU524317 FKQ524317 FUM524317 GEI524317 GOE524317 GYA524317 HHW524317 HRS524317 IBO524317 ILK524317 IVG524317 JFC524317 JOY524317 JYU524317 KIQ524317 KSM524317 LCI524317 LME524317 LWA524317 MFW524317 MPS524317 MZO524317 NJK524317 NTG524317 ODC524317 OMY524317 OWU524317 PGQ524317 PQM524317 QAI524317 QKE524317 QUA524317 RDW524317 RNS524317 RXO524317 SHK524317 SRG524317 TBC524317 TKY524317 TUU524317 UEQ524317 UOM524317 UYI524317 VIE524317 VSA524317 WBW524317 WLS524317 WVO524317 J524319 JC524319 SY524319 ACU524319 AMQ524319 AWM524319 BGI524319 BQE524319 CAA524319 CJW524319 CTS524319 DDO524319 DNK524319 DXG524319 EHC524319 EQY524319 FAU524319 FKQ524319 FUM524319 GEI524319 GOE524319 GYA524319 HHW524319 HRS524319 IBO524319 ILK524319 IVG524319 JFC524319 JOY524319 JYU524319 KIQ524319 KSM524319 LCI524319 LME524319 LWA524319 MFW524319 MPS524319 MZO524319 NJK524319 NTG524319 ODC524319 OMY524319 OWU524319 PGQ524319 PQM524319 QAI524319 QKE524319 QUA524319 RDW524319 RNS524319 RXO524319 SHK524319 SRG524319 TBC524319 TKY524319 TUU524319 UEQ524319 UOM524319 UYI524319 VIE524319 VSA524319 WBW524319 WLS524319 WVO524319 J524321 JC524321 SY524321 ACU524321 AMQ524321 AWM524321 BGI524321 BQE524321 CAA524321 CJW524321 CTS524321 DDO524321 DNK524321 DXG524321 EHC524321 EQY524321 FAU524321 FKQ524321 FUM524321 GEI524321 GOE524321 GYA524321 HHW524321 HRS524321 IBO524321 ILK524321 IVG524321 JFC524321 JOY524321 JYU524321 KIQ524321 KSM524321 LCI524321 LME524321 LWA524321 MFW524321 MPS524321 MZO524321 NJK524321 NTG524321 ODC524321 OMY524321 OWU524321 PGQ524321 PQM524321 QAI524321 QKE524321 QUA524321 RDW524321 RNS524321 RXO524321 SHK524321 SRG524321 TBC524321 TKY524321 TUU524321 UEQ524321 UOM524321 UYI524321 VIE524321 VSA524321 WBW524321 WLS524321 WVO524321 J589845 JC589845 SY589845 ACU589845 AMQ589845 AWM589845 BGI589845 BQE589845 CAA589845 CJW589845 CTS589845 DDO589845 DNK589845 DXG589845 EHC589845 EQY589845 FAU589845 FKQ589845 FUM589845 GEI589845 GOE589845 GYA589845 HHW589845 HRS589845 IBO589845 ILK589845 IVG589845 JFC589845 JOY589845 JYU589845 KIQ589845 KSM589845 LCI589845 LME589845 LWA589845 MFW589845 MPS589845 MZO589845 NJK589845 NTG589845 ODC589845 OMY589845 OWU589845 PGQ589845 PQM589845 QAI589845 QKE589845 QUA589845 RDW589845 RNS589845 RXO589845 SHK589845 SRG589845 TBC589845 TKY589845 TUU589845 UEQ589845 UOM589845 UYI589845 VIE589845 VSA589845 WBW589845 WLS589845 WVO589845 J589851 JC589851 SY589851 ACU589851 AMQ589851 AWM589851 BGI589851 BQE589851 CAA589851 CJW589851 CTS589851 DDO589851 DNK589851 DXG589851 EHC589851 EQY589851 FAU589851 FKQ589851 FUM589851 GEI589851 GOE589851 GYA589851 HHW589851 HRS589851 IBO589851 ILK589851 IVG589851 JFC589851 JOY589851 JYU589851 KIQ589851 KSM589851 LCI589851 LME589851 LWA589851 MFW589851 MPS589851 MZO589851 NJK589851 NTG589851 ODC589851 OMY589851 OWU589851 PGQ589851 PQM589851 QAI589851 QKE589851 QUA589851 RDW589851 RNS589851 RXO589851 SHK589851 SRG589851 TBC589851 TKY589851 TUU589851 UEQ589851 UOM589851 UYI589851 VIE589851 VSA589851 WBW589851 WLS589851 WVO589851 J589853 JC589853 SY589853 ACU589853 AMQ589853 AWM589853 BGI589853 BQE589853 CAA589853 CJW589853 CTS589853 DDO589853 DNK589853 DXG589853 EHC589853 EQY589853 FAU589853 FKQ589853 FUM589853 GEI589853 GOE589853 GYA589853 HHW589853 HRS589853 IBO589853 ILK589853 IVG589853 JFC589853 JOY589853 JYU589853 KIQ589853 KSM589853 LCI589853 LME589853 LWA589853 MFW589853 MPS589853 MZO589853 NJK589853 NTG589853 ODC589853 OMY589853 OWU589853 PGQ589853 PQM589853 QAI589853 QKE589853 QUA589853 RDW589853 RNS589853 RXO589853 SHK589853 SRG589853 TBC589853 TKY589853 TUU589853 UEQ589853 UOM589853 UYI589853 VIE589853 VSA589853 WBW589853 WLS589853 WVO589853 J589855 JC589855 SY589855 ACU589855 AMQ589855 AWM589855 BGI589855 BQE589855 CAA589855 CJW589855 CTS589855 DDO589855 DNK589855 DXG589855 EHC589855 EQY589855 FAU589855 FKQ589855 FUM589855 GEI589855 GOE589855 GYA589855 HHW589855 HRS589855 IBO589855 ILK589855 IVG589855 JFC589855 JOY589855 JYU589855 KIQ589855 KSM589855 LCI589855 LME589855 LWA589855 MFW589855 MPS589855 MZO589855 NJK589855 NTG589855 ODC589855 OMY589855 OWU589855 PGQ589855 PQM589855 QAI589855 QKE589855 QUA589855 RDW589855 RNS589855 RXO589855 SHK589855 SRG589855 TBC589855 TKY589855 TUU589855 UEQ589855 UOM589855 UYI589855 VIE589855 VSA589855 WBW589855 WLS589855 WVO589855 J589857 JC589857 SY589857 ACU589857 AMQ589857 AWM589857 BGI589857 BQE589857 CAA589857 CJW589857 CTS589857 DDO589857 DNK589857 DXG589857 EHC589857 EQY589857 FAU589857 FKQ589857 FUM589857 GEI589857 GOE589857 GYA589857 HHW589857 HRS589857 IBO589857 ILK589857 IVG589857 JFC589857 JOY589857 JYU589857 KIQ589857 KSM589857 LCI589857 LME589857 LWA589857 MFW589857 MPS589857 MZO589857 NJK589857 NTG589857 ODC589857 OMY589857 OWU589857 PGQ589857 PQM589857 QAI589857 QKE589857 QUA589857 RDW589857 RNS589857 RXO589857 SHK589857 SRG589857 TBC589857 TKY589857 TUU589857 UEQ589857 UOM589857 UYI589857 VIE589857 VSA589857 WBW589857 WLS589857 WVO589857 J655381 JC655381 SY655381 ACU655381 AMQ655381 AWM655381 BGI655381 BQE655381 CAA655381 CJW655381 CTS655381 DDO655381 DNK655381 DXG655381 EHC655381 EQY655381 FAU655381 FKQ655381 FUM655381 GEI655381 GOE655381 GYA655381 HHW655381 HRS655381 IBO655381 ILK655381 IVG655381 JFC655381 JOY655381 JYU655381 KIQ655381 KSM655381 LCI655381 LME655381 LWA655381 MFW655381 MPS655381 MZO655381 NJK655381 NTG655381 ODC655381 OMY655381 OWU655381 PGQ655381 PQM655381 QAI655381 QKE655381 QUA655381 RDW655381 RNS655381 RXO655381 SHK655381 SRG655381 TBC655381 TKY655381 TUU655381 UEQ655381 UOM655381 UYI655381 VIE655381 VSA655381 WBW655381 WLS655381 WVO655381 J655387 JC655387 SY655387 ACU655387 AMQ655387 AWM655387 BGI655387 BQE655387 CAA655387 CJW655387 CTS655387 DDO655387 DNK655387 DXG655387 EHC655387 EQY655387 FAU655387 FKQ655387 FUM655387 GEI655387 GOE655387 GYA655387 HHW655387 HRS655387 IBO655387 ILK655387 IVG655387 JFC655387 JOY655387 JYU655387 KIQ655387 KSM655387 LCI655387 LME655387 LWA655387 MFW655387 MPS655387 MZO655387 NJK655387 NTG655387 ODC655387 OMY655387 OWU655387 PGQ655387 PQM655387 QAI655387 QKE655387 QUA655387 RDW655387 RNS655387 RXO655387 SHK655387 SRG655387 TBC655387 TKY655387 TUU655387 UEQ655387 UOM655387 UYI655387 VIE655387 VSA655387 WBW655387 WLS655387 WVO655387 J655389 JC655389 SY655389 ACU655389 AMQ655389 AWM655389 BGI655389 BQE655389 CAA655389 CJW655389 CTS655389 DDO655389 DNK655389 DXG655389 EHC655389 EQY655389 FAU655389 FKQ655389 FUM655389 GEI655389 GOE655389 GYA655389 HHW655389 HRS655389 IBO655389 ILK655389 IVG655389 JFC655389 JOY655389 JYU655389 KIQ655389 KSM655389 LCI655389 LME655389 LWA655389 MFW655389 MPS655389 MZO655389 NJK655389 NTG655389 ODC655389 OMY655389 OWU655389 PGQ655389 PQM655389 QAI655389 QKE655389 QUA655389 RDW655389 RNS655389 RXO655389 SHK655389 SRG655389 TBC655389 TKY655389 TUU655389 UEQ655389 UOM655389 UYI655389 VIE655389 VSA655389 WBW655389 WLS655389 WVO655389 J655391 JC655391 SY655391 ACU655391 AMQ655391 AWM655391 BGI655391 BQE655391 CAA655391 CJW655391 CTS655391 DDO655391 DNK655391 DXG655391 EHC655391 EQY655391 FAU655391 FKQ655391 FUM655391 GEI655391 GOE655391 GYA655391 HHW655391 HRS655391 IBO655391 ILK655391 IVG655391 JFC655391 JOY655391 JYU655391 KIQ655391 KSM655391 LCI655391 LME655391 LWA655391 MFW655391 MPS655391 MZO655391 NJK655391 NTG655391 ODC655391 OMY655391 OWU655391 PGQ655391 PQM655391 QAI655391 QKE655391 QUA655391 RDW655391 RNS655391 RXO655391 SHK655391 SRG655391 TBC655391 TKY655391 TUU655391 UEQ655391 UOM655391 UYI655391 VIE655391 VSA655391 WBW655391 WLS655391 WVO655391 J655393 JC655393 SY655393 ACU655393 AMQ655393 AWM655393 BGI655393 BQE655393 CAA655393 CJW655393 CTS655393 DDO655393 DNK655393 DXG655393 EHC655393 EQY655393 FAU655393 FKQ655393 FUM655393 GEI655393 GOE655393 GYA655393 HHW655393 HRS655393 IBO655393 ILK655393 IVG655393 JFC655393 JOY655393 JYU655393 KIQ655393 KSM655393 LCI655393 LME655393 LWA655393 MFW655393 MPS655393 MZO655393 NJK655393 NTG655393 ODC655393 OMY655393 OWU655393 PGQ655393 PQM655393 QAI655393 QKE655393 QUA655393 RDW655393 RNS655393 RXO655393 SHK655393 SRG655393 TBC655393 TKY655393 TUU655393 UEQ655393 UOM655393 UYI655393 VIE655393 VSA655393 WBW655393 WLS655393 WVO655393 J720917 JC720917 SY720917 ACU720917 AMQ720917 AWM720917 BGI720917 BQE720917 CAA720917 CJW720917 CTS720917 DDO720917 DNK720917 DXG720917 EHC720917 EQY720917 FAU720917 FKQ720917 FUM720917 GEI720917 GOE720917 GYA720917 HHW720917 HRS720917 IBO720917 ILK720917 IVG720917 JFC720917 JOY720917 JYU720917 KIQ720917 KSM720917 LCI720917 LME720917 LWA720917 MFW720917 MPS720917 MZO720917 NJK720917 NTG720917 ODC720917 OMY720917 OWU720917 PGQ720917 PQM720917 QAI720917 QKE720917 QUA720917 RDW720917 RNS720917 RXO720917 SHK720917 SRG720917 TBC720917 TKY720917 TUU720917 UEQ720917 UOM720917 UYI720917 VIE720917 VSA720917 WBW720917 WLS720917 WVO720917 J720923 JC720923 SY720923 ACU720923 AMQ720923 AWM720923 BGI720923 BQE720923 CAA720923 CJW720923 CTS720923 DDO720923 DNK720923 DXG720923 EHC720923 EQY720923 FAU720923 FKQ720923 FUM720923 GEI720923 GOE720923 GYA720923 HHW720923 HRS720923 IBO720923 ILK720923 IVG720923 JFC720923 JOY720923 JYU720923 KIQ720923 KSM720923 LCI720923 LME720923 LWA720923 MFW720923 MPS720923 MZO720923 NJK720923 NTG720923 ODC720923 OMY720923 OWU720923 PGQ720923 PQM720923 QAI720923 QKE720923 QUA720923 RDW720923 RNS720923 RXO720923 SHK720923 SRG720923 TBC720923 TKY720923 TUU720923 UEQ720923 UOM720923 UYI720923 VIE720923 VSA720923 WBW720923 WLS720923 WVO720923 J720925 JC720925 SY720925 ACU720925 AMQ720925 AWM720925 BGI720925 BQE720925 CAA720925 CJW720925 CTS720925 DDO720925 DNK720925 DXG720925 EHC720925 EQY720925 FAU720925 FKQ720925 FUM720925 GEI720925 GOE720925 GYA720925 HHW720925 HRS720925 IBO720925 ILK720925 IVG720925 JFC720925 JOY720925 JYU720925 KIQ720925 KSM720925 LCI720925 LME720925 LWA720925 MFW720925 MPS720925 MZO720925 NJK720925 NTG720925 ODC720925 OMY720925 OWU720925 PGQ720925 PQM720925 QAI720925 QKE720925 QUA720925 RDW720925 RNS720925 RXO720925 SHK720925 SRG720925 TBC720925 TKY720925 TUU720925 UEQ720925 UOM720925 UYI720925 VIE720925 VSA720925 WBW720925 WLS720925 WVO720925 J720927 JC720927 SY720927 ACU720927 AMQ720927 AWM720927 BGI720927 BQE720927 CAA720927 CJW720927 CTS720927 DDO720927 DNK720927 DXG720927 EHC720927 EQY720927 FAU720927 FKQ720927 FUM720927 GEI720927 GOE720927 GYA720927 HHW720927 HRS720927 IBO720927 ILK720927 IVG720927 JFC720927 JOY720927 JYU720927 KIQ720927 KSM720927 LCI720927 LME720927 LWA720927 MFW720927 MPS720927 MZO720927 NJK720927 NTG720927 ODC720927 OMY720927 OWU720927 PGQ720927 PQM720927 QAI720927 QKE720927 QUA720927 RDW720927 RNS720927 RXO720927 SHK720927 SRG720927 TBC720927 TKY720927 TUU720927 UEQ720927 UOM720927 UYI720927 VIE720927 VSA720927 WBW720927 WLS720927 WVO720927 J720929 JC720929 SY720929 ACU720929 AMQ720929 AWM720929 BGI720929 BQE720929 CAA720929 CJW720929 CTS720929 DDO720929 DNK720929 DXG720929 EHC720929 EQY720929 FAU720929 FKQ720929 FUM720929 GEI720929 GOE720929 GYA720929 HHW720929 HRS720929 IBO720929 ILK720929 IVG720929 JFC720929 JOY720929 JYU720929 KIQ720929 KSM720929 LCI720929 LME720929 LWA720929 MFW720929 MPS720929 MZO720929 NJK720929 NTG720929 ODC720929 OMY720929 OWU720929 PGQ720929 PQM720929 QAI720929 QKE720929 QUA720929 RDW720929 RNS720929 RXO720929 SHK720929 SRG720929 TBC720929 TKY720929 TUU720929 UEQ720929 UOM720929 UYI720929 VIE720929 VSA720929 WBW720929 WLS720929 WVO720929 J786453 JC786453 SY786453 ACU786453 AMQ786453 AWM786453 BGI786453 BQE786453 CAA786453 CJW786453 CTS786453 DDO786453 DNK786453 DXG786453 EHC786453 EQY786453 FAU786453 FKQ786453 FUM786453 GEI786453 GOE786453 GYA786453 HHW786453 HRS786453 IBO786453 ILK786453 IVG786453 JFC786453 JOY786453 JYU786453 KIQ786453 KSM786453 LCI786453 LME786453 LWA786453 MFW786453 MPS786453 MZO786453 NJK786453 NTG786453 ODC786453 OMY786453 OWU786453 PGQ786453 PQM786453 QAI786453 QKE786453 QUA786453 RDW786453 RNS786453 RXO786453 SHK786453 SRG786453 TBC786453 TKY786453 TUU786453 UEQ786453 UOM786453 UYI786453 VIE786453 VSA786453 WBW786453 WLS786453 WVO786453 J786459 JC786459 SY786459 ACU786459 AMQ786459 AWM786459 BGI786459 BQE786459 CAA786459 CJW786459 CTS786459 DDO786459 DNK786459 DXG786459 EHC786459 EQY786459 FAU786459 FKQ786459 FUM786459 GEI786459 GOE786459 GYA786459 HHW786459 HRS786459 IBO786459 ILK786459 IVG786459 JFC786459 JOY786459 JYU786459 KIQ786459 KSM786459 LCI786459 LME786459 LWA786459 MFW786459 MPS786459 MZO786459 NJK786459 NTG786459 ODC786459 OMY786459 OWU786459 PGQ786459 PQM786459 QAI786459 QKE786459 QUA786459 RDW786459 RNS786459 RXO786459 SHK786459 SRG786459 TBC786459 TKY786459 TUU786459 UEQ786459 UOM786459 UYI786459 VIE786459 VSA786459 WBW786459 WLS786459 WVO786459 J786461 JC786461 SY786461 ACU786461 AMQ786461 AWM786461 BGI786461 BQE786461 CAA786461 CJW786461 CTS786461 DDO786461 DNK786461 DXG786461 EHC786461 EQY786461 FAU786461 FKQ786461 FUM786461 GEI786461 GOE786461 GYA786461 HHW786461 HRS786461 IBO786461 ILK786461 IVG786461 JFC786461 JOY786461 JYU786461 KIQ786461 KSM786461 LCI786461 LME786461 LWA786461 MFW786461 MPS786461 MZO786461 NJK786461 NTG786461 ODC786461 OMY786461 OWU786461 PGQ786461 PQM786461 QAI786461 QKE786461 QUA786461 RDW786461 RNS786461 RXO786461 SHK786461 SRG786461 TBC786461 TKY786461 TUU786461 UEQ786461 UOM786461 UYI786461 VIE786461 VSA786461 WBW786461 WLS786461 WVO786461 J786463 JC786463 SY786463 ACU786463 AMQ786463 AWM786463 BGI786463 BQE786463 CAA786463 CJW786463 CTS786463 DDO786463 DNK786463 DXG786463 EHC786463 EQY786463 FAU786463 FKQ786463 FUM786463 GEI786463 GOE786463 GYA786463 HHW786463 HRS786463 IBO786463 ILK786463 IVG786463 JFC786463 JOY786463 JYU786463 KIQ786463 KSM786463 LCI786463 LME786463 LWA786463 MFW786463 MPS786463 MZO786463 NJK786463 NTG786463 ODC786463 OMY786463 OWU786463 PGQ786463 PQM786463 QAI786463 QKE786463 QUA786463 RDW786463 RNS786463 RXO786463 SHK786463 SRG786463 TBC786463 TKY786463 TUU786463 UEQ786463 UOM786463 UYI786463 VIE786463 VSA786463 WBW786463 WLS786463 WVO786463 J786465 JC786465 SY786465 ACU786465 AMQ786465 AWM786465 BGI786465 BQE786465 CAA786465 CJW786465 CTS786465 DDO786465 DNK786465 DXG786465 EHC786465 EQY786465 FAU786465 FKQ786465 FUM786465 GEI786465 GOE786465 GYA786465 HHW786465 HRS786465 IBO786465 ILK786465 IVG786465 JFC786465 JOY786465 JYU786465 KIQ786465 KSM786465 LCI786465 LME786465 LWA786465 MFW786465 MPS786465 MZO786465 NJK786465 NTG786465 ODC786465 OMY786465 OWU786465 PGQ786465 PQM786465 QAI786465 QKE786465 QUA786465 RDW786465 RNS786465 RXO786465 SHK786465 SRG786465 TBC786465 TKY786465 TUU786465 UEQ786465 UOM786465 UYI786465 VIE786465 VSA786465 WBW786465 WLS786465 WVO786465 J851989 JC851989 SY851989 ACU851989 AMQ851989 AWM851989 BGI851989 BQE851989 CAA851989 CJW851989 CTS851989 DDO851989 DNK851989 DXG851989 EHC851989 EQY851989 FAU851989 FKQ851989 FUM851989 GEI851989 GOE851989 GYA851989 HHW851989 HRS851989 IBO851989 ILK851989 IVG851989 JFC851989 JOY851989 JYU851989 KIQ851989 KSM851989 LCI851989 LME851989 LWA851989 MFW851989 MPS851989 MZO851989 NJK851989 NTG851989 ODC851989 OMY851989 OWU851989 PGQ851989 PQM851989 QAI851989 QKE851989 QUA851989 RDW851989 RNS851989 RXO851989 SHK851989 SRG851989 TBC851989 TKY851989 TUU851989 UEQ851989 UOM851989 UYI851989 VIE851989 VSA851989 WBW851989 WLS851989 WVO851989 J851995 JC851995 SY851995 ACU851995 AMQ851995 AWM851995 BGI851995 BQE851995 CAA851995 CJW851995 CTS851995 DDO851995 DNK851995 DXG851995 EHC851995 EQY851995 FAU851995 FKQ851995 FUM851995 GEI851995 GOE851995 GYA851995 HHW851995 HRS851995 IBO851995 ILK851995 IVG851995 JFC851995 JOY851995 JYU851995 KIQ851995 KSM851995 LCI851995 LME851995 LWA851995 MFW851995 MPS851995 MZO851995 NJK851995 NTG851995 ODC851995 OMY851995 OWU851995 PGQ851995 PQM851995 QAI851995 QKE851995 QUA851995 RDW851995 RNS851995 RXO851995 SHK851995 SRG851995 TBC851995 TKY851995 TUU851995 UEQ851995 UOM851995 UYI851995 VIE851995 VSA851995 WBW851995 WLS851995 WVO851995 J851997 JC851997 SY851997 ACU851997 AMQ851997 AWM851997 BGI851997 BQE851997 CAA851997 CJW851997 CTS851997 DDO851997 DNK851997 DXG851997 EHC851997 EQY851997 FAU851997 FKQ851997 FUM851997 GEI851997 GOE851997 GYA851997 HHW851997 HRS851997 IBO851997 ILK851997 IVG851997 JFC851997 JOY851997 JYU851997 KIQ851997 KSM851997 LCI851997 LME851997 LWA851997 MFW851997 MPS851997 MZO851997 NJK851997 NTG851997 ODC851997 OMY851997 OWU851997 PGQ851997 PQM851997 QAI851997 QKE851997 QUA851997 RDW851997 RNS851997 RXO851997 SHK851997 SRG851997 TBC851997 TKY851997 TUU851997 UEQ851997 UOM851997 UYI851997 VIE851997 VSA851997 WBW851997 WLS851997 WVO851997 J851999 JC851999 SY851999 ACU851999 AMQ851999 AWM851999 BGI851999 BQE851999 CAA851999 CJW851999 CTS851999 DDO851999 DNK851999 DXG851999 EHC851999 EQY851999 FAU851999 FKQ851999 FUM851999 GEI851999 GOE851999 GYA851999 HHW851999 HRS851999 IBO851999 ILK851999 IVG851999 JFC851999 JOY851999 JYU851999 KIQ851999 KSM851999 LCI851999 LME851999 LWA851999 MFW851999 MPS851999 MZO851999 NJK851999 NTG851999 ODC851999 OMY851999 OWU851999 PGQ851999 PQM851999 QAI851999 QKE851999 QUA851999 RDW851999 RNS851999 RXO851999 SHK851999 SRG851999 TBC851999 TKY851999 TUU851999 UEQ851999 UOM851999 UYI851999 VIE851999 VSA851999 WBW851999 WLS851999 WVO851999 J852001 JC852001 SY852001 ACU852001 AMQ852001 AWM852001 BGI852001 BQE852001 CAA852001 CJW852001 CTS852001 DDO852001 DNK852001 DXG852001 EHC852001 EQY852001 FAU852001 FKQ852001 FUM852001 GEI852001 GOE852001 GYA852001 HHW852001 HRS852001 IBO852001 ILK852001 IVG852001 JFC852001 JOY852001 JYU852001 KIQ852001 KSM852001 LCI852001 LME852001 LWA852001 MFW852001 MPS852001 MZO852001 NJK852001 NTG852001 ODC852001 OMY852001 OWU852001 PGQ852001 PQM852001 QAI852001 QKE852001 QUA852001 RDW852001 RNS852001 RXO852001 SHK852001 SRG852001 TBC852001 TKY852001 TUU852001 UEQ852001 UOM852001 UYI852001 VIE852001 VSA852001 WBW852001 WLS852001 WVO852001 J917525 JC917525 SY917525 ACU917525 AMQ917525 AWM917525 BGI917525 BQE917525 CAA917525 CJW917525 CTS917525 DDO917525 DNK917525 DXG917525 EHC917525 EQY917525 FAU917525 FKQ917525 FUM917525 GEI917525 GOE917525 GYA917525 HHW917525 HRS917525 IBO917525 ILK917525 IVG917525 JFC917525 JOY917525 JYU917525 KIQ917525 KSM917525 LCI917525 LME917525 LWA917525 MFW917525 MPS917525 MZO917525 NJK917525 NTG917525 ODC917525 OMY917525 OWU917525 PGQ917525 PQM917525 QAI917525 QKE917525 QUA917525 RDW917525 RNS917525 RXO917525 SHK917525 SRG917525 TBC917525 TKY917525 TUU917525 UEQ917525 UOM917525 UYI917525 VIE917525 VSA917525 WBW917525 WLS917525 WVO917525 J917531 JC917531 SY917531 ACU917531 AMQ917531 AWM917531 BGI917531 BQE917531 CAA917531 CJW917531 CTS917531 DDO917531 DNK917531 DXG917531 EHC917531 EQY917531 FAU917531 FKQ917531 FUM917531 GEI917531 GOE917531 GYA917531 HHW917531 HRS917531 IBO917531 ILK917531 IVG917531 JFC917531 JOY917531 JYU917531 KIQ917531 KSM917531 LCI917531 LME917531 LWA917531 MFW917531 MPS917531 MZO917531 NJK917531 NTG917531 ODC917531 OMY917531 OWU917531 PGQ917531 PQM917531 QAI917531 QKE917531 QUA917531 RDW917531 RNS917531 RXO917531 SHK917531 SRG917531 TBC917531 TKY917531 TUU917531 UEQ917531 UOM917531 UYI917531 VIE917531 VSA917531 WBW917531 WLS917531 WVO917531 J917533 JC917533 SY917533 ACU917533 AMQ917533 AWM917533 BGI917533 BQE917533 CAA917533 CJW917533 CTS917533 DDO917533 DNK917533 DXG917533 EHC917533 EQY917533 FAU917533 FKQ917533 FUM917533 GEI917533 GOE917533 GYA917533 HHW917533 HRS917533 IBO917533 ILK917533 IVG917533 JFC917533 JOY917533 JYU917533 KIQ917533 KSM917533 LCI917533 LME917533 LWA917533 MFW917533 MPS917533 MZO917533 NJK917533 NTG917533 ODC917533 OMY917533 OWU917533 PGQ917533 PQM917533 QAI917533 QKE917533 QUA917533 RDW917533 RNS917533 RXO917533 SHK917533 SRG917533 TBC917533 TKY917533 TUU917533 UEQ917533 UOM917533 UYI917533 VIE917533 VSA917533 WBW917533 WLS917533 WVO917533 J917535 JC917535 SY917535 ACU917535 AMQ917535 AWM917535 BGI917535 BQE917535 CAA917535 CJW917535 CTS917535 DDO917535 DNK917535 DXG917535 EHC917535 EQY917535 FAU917535 FKQ917535 FUM917535 GEI917535 GOE917535 GYA917535 HHW917535 HRS917535 IBO917535 ILK917535 IVG917535 JFC917535 JOY917535 JYU917535 KIQ917535 KSM917535 LCI917535 LME917535 LWA917535 MFW917535 MPS917535 MZO917535 NJK917535 NTG917535 ODC917535 OMY917535 OWU917535 PGQ917535 PQM917535 QAI917535 QKE917535 QUA917535 RDW917535 RNS917535 RXO917535 SHK917535 SRG917535 TBC917535 TKY917535 TUU917535 UEQ917535 UOM917535 UYI917535 VIE917535 VSA917535 WBW917535 WLS917535 WVO917535 J917537 JC917537 SY917537 ACU917537 AMQ917537 AWM917537 BGI917537 BQE917537 CAA917537 CJW917537 CTS917537 DDO917537 DNK917537 DXG917537 EHC917537 EQY917537 FAU917537 FKQ917537 FUM917537 GEI917537 GOE917537 GYA917537 HHW917537 HRS917537 IBO917537 ILK917537 IVG917537 JFC917537 JOY917537 JYU917537 KIQ917537 KSM917537 LCI917537 LME917537 LWA917537 MFW917537 MPS917537 MZO917537 NJK917537 NTG917537 ODC917537 OMY917537 OWU917537 PGQ917537 PQM917537 QAI917537 QKE917537 QUA917537 RDW917537 RNS917537 RXO917537 SHK917537 SRG917537 TBC917537 TKY917537 TUU917537 UEQ917537 UOM917537 UYI917537 VIE917537 VSA917537 WBW917537 WLS917537 WVO917537 J983061 JC983061 SY983061 ACU983061 AMQ983061 AWM983061 BGI983061 BQE983061 CAA983061 CJW983061 CTS983061 DDO983061 DNK983061 DXG983061 EHC983061 EQY983061 FAU983061 FKQ983061 FUM983061 GEI983061 GOE983061 GYA983061 HHW983061 HRS983061 IBO983061 ILK983061 IVG983061 JFC983061 JOY983061 JYU983061 KIQ983061 KSM983061 LCI983061 LME983061 LWA983061 MFW983061 MPS983061 MZO983061 NJK983061 NTG983061 ODC983061 OMY983061 OWU983061 PGQ983061 PQM983061 QAI983061 QKE983061 QUA983061 RDW983061 RNS983061 RXO983061 SHK983061 SRG983061 TBC983061 TKY983061 TUU983061 UEQ983061 UOM983061 UYI983061 VIE983061 VSA983061 WBW983061 WLS983061 WVO983061 J983067 JC983067 SY983067 ACU983067 AMQ983067 AWM983067 BGI983067 BQE983067 CAA983067 CJW983067 CTS983067 DDO983067 DNK983067 DXG983067 EHC983067 EQY983067 FAU983067 FKQ983067 FUM983067 GEI983067 GOE983067 GYA983067 HHW983067 HRS983067 IBO983067 ILK983067 IVG983067 JFC983067 JOY983067 JYU983067 KIQ983067 KSM983067 LCI983067 LME983067 LWA983067 MFW983067 MPS983067 MZO983067 NJK983067 NTG983067 ODC983067 OMY983067 OWU983067 PGQ983067 PQM983067 QAI983067 QKE983067 QUA983067 RDW983067 RNS983067 RXO983067 SHK983067 SRG983067 TBC983067 TKY983067 TUU983067 UEQ983067 UOM983067 UYI983067 VIE983067 VSA983067 WBW983067 WLS983067 WVO983067 J983069 JC983069 SY983069 ACU983069 AMQ983069 AWM983069 BGI983069 BQE983069 CAA983069 CJW983069 CTS983069 DDO983069 DNK983069 DXG983069 EHC983069 EQY983069 FAU983069 FKQ983069 FUM983069 GEI983069 GOE983069 GYA983069 HHW983069 HRS983069 IBO983069 ILK983069 IVG983069 JFC983069 JOY983069 JYU983069 KIQ983069 KSM983069 LCI983069 LME983069 LWA983069 MFW983069 MPS983069 MZO983069 NJK983069 NTG983069 ODC983069 OMY983069 OWU983069 PGQ983069 PQM983069 QAI983069 QKE983069 QUA983069 RDW983069 RNS983069 RXO983069 SHK983069 SRG983069 TBC983069 TKY983069 TUU983069 UEQ983069 UOM983069 UYI983069 VIE983069 VSA983069 WBW983069 WLS983069 WVO983069 J983071 JC983071 SY983071 ACU983071 AMQ983071 AWM983071 BGI983071 BQE983071 CAA983071 CJW983071 CTS983071 DDO983071 DNK983071 DXG983071 EHC983071 EQY983071 FAU983071 FKQ983071 FUM983071 GEI983071 GOE983071 GYA983071 HHW983071 HRS983071 IBO983071 ILK983071 IVG983071 JFC983071 JOY983071 JYU983071 KIQ983071 KSM983071 LCI983071 LME983071 LWA983071 MFW983071 MPS983071 MZO983071 NJK983071 NTG983071 ODC983071 OMY983071 OWU983071 PGQ983071 PQM983071 QAI983071 QKE983071 QUA983071 RDW983071 RNS983071 RXO983071 SHK983071 SRG983071 TBC983071 TKY983071 TUU983071 UEQ983071 UOM983071 UYI983071 VIE983071 VSA983071 WBW983071 WLS983071 WVO983071 J983073 JC983073 SY983073 ACU983073 AMQ983073 AWM983073 BGI983073 BQE983073 CAA983073 CJW983073 CTS983073 DDO983073 DNK983073 DXG983073 EHC983073 EQY983073 FAU983073 FKQ983073 FUM983073 GEI983073 GOE983073 GYA983073 HHW983073 HRS983073 IBO983073 ILK983073 IVG983073 JFC983073 JOY983073 JYU983073 KIQ983073 KSM983073 LCI983073 LME983073 LWA983073 MFW983073 MPS983073 MZO983073 NJK983073 NTG983073 ODC983073 OMY983073 OWU983073 PGQ983073 PQM983073 QAI983073 QKE983073 QUA983073 RDW983073 RNS983073 RXO983073 SHK983073 SRG983073 TBC983073 TKY983073 TUU983073 UEQ983073 UOM983073 UYI983073 VIE983073 VSA983073 WBW983073 WLS983073 WVO983073 WVO19:WVO20 JC19:JC20 SY19:SY20 ACU19:ACU20 AMQ19:AMQ20 AWM19:AWM20 BGI19:BGI20 BQE19:BQE20 CAA19:CAA20 CJW19:CJW20 CTS19:CTS20 DDO19:DDO20 DNK19:DNK20 DXG19:DXG20 EHC19:EHC20 EQY19:EQY20 FAU19:FAU20 FKQ19:FKQ20 FUM19:FUM20 GEI19:GEI20 GOE19:GOE20 GYA19:GYA20 HHW19:HHW20 HRS19:HRS20 IBO19:IBO20 ILK19:ILK20 IVG19:IVG20 JFC19:JFC20 JOY19:JOY20 JYU19:JYU20 KIQ19:KIQ20 KSM19:KSM20 LCI19:LCI20 LME19:LME20 LWA19:LWA20 MFW19:MFW20 MPS19:MPS20 MZO19:MZO20 NJK19:NJK20 NTG19:NTG20 ODC19:ODC20 OMY19:OMY20 OWU19:OWU20 PGQ19:PGQ20 PQM19:PQM20 QAI19:QAI20 QKE19:QKE20 QUA19:QUA20 RDW19:RDW20 RNS19:RNS20 RXO19:RXO20 SHK19:SHK20 SRG19:SRG20 TBC19:TBC20 TKY19:TKY20 TUU19:TUU20 UEQ19:UEQ20 UOM19:UOM20 UYI19:UYI20 VIE19:VIE20">
      <formula1>"外购,自建,自用转入,存货转入"</formula1>
    </dataValidation>
  </dataValidation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54"/>
  <sheetViews>
    <sheetView workbookViewId="0">
      <selection activeCell="C8" sqref="C8:C35"/>
    </sheetView>
  </sheetViews>
  <sheetFormatPr defaultRowHeight="13.5"/>
  <cols>
    <col min="2" max="2" width="27.375" customWidth="1"/>
    <col min="6" max="6" width="9.25" bestFit="1" customWidth="1"/>
  </cols>
  <sheetData>
    <row r="1" spans="2:14">
      <c r="E1" s="3527" t="s">
        <v>3571</v>
      </c>
      <c r="F1" s="3527" t="s">
        <v>3572</v>
      </c>
      <c r="G1" s="3527" t="s">
        <v>3570</v>
      </c>
      <c r="H1" s="3527" t="s">
        <v>3587</v>
      </c>
    </row>
    <row r="2" spans="2:14">
      <c r="B2" s="3527" t="s">
        <v>3567</v>
      </c>
      <c r="C2" s="3527" t="s">
        <v>3568</v>
      </c>
      <c r="D2" s="3527" t="s">
        <v>3569</v>
      </c>
      <c r="E2" s="3527" t="s">
        <v>3573</v>
      </c>
      <c r="F2" s="3535">
        <v>7</v>
      </c>
      <c r="G2" s="3535">
        <v>1168.2</v>
      </c>
      <c r="H2" s="3536" t="s">
        <v>3569</v>
      </c>
    </row>
    <row r="3" spans="2:14">
      <c r="B3" s="3527" t="s">
        <v>3574</v>
      </c>
      <c r="C3" s="3532" t="s">
        <v>3575</v>
      </c>
      <c r="D3" s="3527" t="s">
        <v>3569</v>
      </c>
      <c r="E3" s="3527" t="s">
        <v>3576</v>
      </c>
      <c r="F3" s="3535">
        <v>19</v>
      </c>
      <c r="G3" s="3535">
        <v>271.2</v>
      </c>
      <c r="H3" s="3536" t="s">
        <v>3569</v>
      </c>
    </row>
    <row r="4" spans="2:14">
      <c r="C4" s="3532" t="s">
        <v>3577</v>
      </c>
      <c r="D4" s="3527" t="s">
        <v>3569</v>
      </c>
      <c r="E4" s="3527" t="s">
        <v>3578</v>
      </c>
      <c r="F4" s="3536" t="s">
        <v>3579</v>
      </c>
      <c r="G4" s="3535">
        <v>2866.8</v>
      </c>
      <c r="H4" s="3536" t="s">
        <v>3569</v>
      </c>
      <c r="J4" s="3527" t="s">
        <v>3569</v>
      </c>
      <c r="K4">
        <f>G2+G3+G4+G5+G6+G7+G9+G10+G11+G15+G16+G23+G24+G25+G26</f>
        <v>20387.200000000004</v>
      </c>
      <c r="L4">
        <v>7.5</v>
      </c>
      <c r="M4">
        <f>L4*K4</f>
        <v>152904.00000000003</v>
      </c>
    </row>
    <row r="5" spans="2:14">
      <c r="B5" s="3527" t="s">
        <v>3580</v>
      </c>
      <c r="C5" s="3532" t="s">
        <v>3575</v>
      </c>
      <c r="D5" s="3527" t="s">
        <v>3569</v>
      </c>
      <c r="E5" s="3527" t="s">
        <v>3581</v>
      </c>
      <c r="F5">
        <v>11</v>
      </c>
      <c r="G5">
        <v>191.9</v>
      </c>
      <c r="H5" s="3527" t="s">
        <v>3569</v>
      </c>
      <c r="J5" s="3527" t="s">
        <v>3448</v>
      </c>
      <c r="K5">
        <f>G8+G12+G13+G14+G17+G18+G19+G20+G21+G22</f>
        <v>12536.100000000002</v>
      </c>
      <c r="L5">
        <f>M12</f>
        <v>7.6252269442958536</v>
      </c>
      <c r="M5">
        <f>L5*K5</f>
        <v>95590.607496387267</v>
      </c>
    </row>
    <row r="6" spans="2:14">
      <c r="C6" s="3532" t="s">
        <v>3575</v>
      </c>
      <c r="D6" s="3527" t="s">
        <v>3569</v>
      </c>
      <c r="E6" s="3529" t="s">
        <v>3582</v>
      </c>
      <c r="F6">
        <v>11</v>
      </c>
      <c r="G6">
        <v>99.3</v>
      </c>
      <c r="H6" s="3527" t="s">
        <v>3569</v>
      </c>
      <c r="K6">
        <f>SUM(K4:K5)</f>
        <v>32923.300000000003</v>
      </c>
      <c r="L6">
        <f>M6/K6</f>
        <v>7.5476822644263262</v>
      </c>
      <c r="M6">
        <f>SUM(M4:M5)</f>
        <v>248494.6074963873</v>
      </c>
    </row>
    <row r="7" spans="2:14">
      <c r="C7" s="3532" t="s">
        <v>3575</v>
      </c>
      <c r="D7" s="3527" t="s">
        <v>3569</v>
      </c>
      <c r="E7" s="3527" t="s">
        <v>3583</v>
      </c>
      <c r="F7" s="3534" t="s">
        <v>3584</v>
      </c>
      <c r="G7" s="3535">
        <v>3822.4</v>
      </c>
      <c r="H7" s="3536" t="s">
        <v>3569</v>
      </c>
    </row>
    <row r="8" spans="2:14">
      <c r="B8" s="3527" t="s">
        <v>3585</v>
      </c>
      <c r="C8" s="3532" t="s">
        <v>3575</v>
      </c>
      <c r="D8" s="3527" t="s">
        <v>3569</v>
      </c>
      <c r="E8" s="3530" t="s">
        <v>3586</v>
      </c>
      <c r="F8">
        <v>2</v>
      </c>
      <c r="G8">
        <v>2001.3</v>
      </c>
      <c r="H8" s="3527" t="s">
        <v>3448</v>
      </c>
      <c r="J8" s="3527" t="s">
        <v>3613</v>
      </c>
      <c r="K8">
        <f>G13+G18+G19+G21+G22</f>
        <v>2747.4999999999995</v>
      </c>
      <c r="L8">
        <v>1</v>
      </c>
      <c r="M8" s="3533">
        <v>11</v>
      </c>
      <c r="N8">
        <f>M8*K8</f>
        <v>30222.499999999996</v>
      </c>
    </row>
    <row r="9" spans="2:14">
      <c r="C9" s="3532" t="s">
        <v>3575</v>
      </c>
      <c r="D9" s="3527" t="s">
        <v>3569</v>
      </c>
      <c r="E9" s="3527" t="s">
        <v>3588</v>
      </c>
      <c r="F9" s="3535">
        <v>25</v>
      </c>
      <c r="G9" s="3535">
        <v>1168.2</v>
      </c>
      <c r="H9" s="3536" t="s">
        <v>3569</v>
      </c>
      <c r="J9" s="3527" t="s">
        <v>3614</v>
      </c>
      <c r="K9">
        <f>G8+G12</f>
        <v>3387.3</v>
      </c>
      <c r="L9">
        <v>0.7</v>
      </c>
      <c r="M9">
        <f>M8*L9</f>
        <v>7.6999999999999993</v>
      </c>
      <c r="N9">
        <f t="shared" ref="N9:N11" si="0">M9*K9</f>
        <v>26082.21</v>
      </c>
    </row>
    <row r="10" spans="2:14">
      <c r="B10" s="3527" t="s">
        <v>3589</v>
      </c>
      <c r="C10" s="3527" t="s">
        <v>3568</v>
      </c>
      <c r="D10" s="3527" t="s">
        <v>3569</v>
      </c>
      <c r="E10" s="3527" t="s">
        <v>3590</v>
      </c>
      <c r="F10" s="3536" t="s">
        <v>3591</v>
      </c>
      <c r="G10" s="3535">
        <v>3504.5</v>
      </c>
      <c r="H10" s="3536" t="s">
        <v>3569</v>
      </c>
      <c r="J10" s="3527" t="s">
        <v>3615</v>
      </c>
      <c r="K10">
        <f>G20</f>
        <v>3686.7</v>
      </c>
      <c r="L10">
        <v>0.6</v>
      </c>
      <c r="M10">
        <f>M8*L10</f>
        <v>6.6</v>
      </c>
      <c r="N10">
        <f t="shared" si="0"/>
        <v>24332.219999999998</v>
      </c>
    </row>
    <row r="11" spans="2:14">
      <c r="B11" s="3527" t="s">
        <v>3592</v>
      </c>
      <c r="C11" s="3532" t="s">
        <v>3575</v>
      </c>
      <c r="D11" s="3527" t="s">
        <v>3569</v>
      </c>
      <c r="E11" s="3527" t="s">
        <v>3593</v>
      </c>
      <c r="F11" s="3527" t="s">
        <v>3594</v>
      </c>
      <c r="G11">
        <v>2336.4</v>
      </c>
      <c r="H11" s="3527" t="s">
        <v>3569</v>
      </c>
      <c r="J11" s="3527" t="s">
        <v>3616</v>
      </c>
      <c r="K11">
        <f>G17</f>
        <v>2703.6</v>
      </c>
      <c r="L11">
        <v>0.5</v>
      </c>
      <c r="M11">
        <f>M8*L11</f>
        <v>5.5</v>
      </c>
      <c r="N11">
        <f t="shared" si="0"/>
        <v>14869.8</v>
      </c>
    </row>
    <row r="12" spans="2:14">
      <c r="B12" s="3527" t="s">
        <v>3595</v>
      </c>
      <c r="C12" s="3527" t="s">
        <v>3568</v>
      </c>
      <c r="D12" s="3527" t="s">
        <v>3569</v>
      </c>
      <c r="E12" s="3530" t="s">
        <v>3597</v>
      </c>
      <c r="F12">
        <v>2</v>
      </c>
      <c r="G12">
        <v>1386</v>
      </c>
      <c r="H12" s="3527" t="s">
        <v>3596</v>
      </c>
      <c r="K12">
        <f>SUM(K8:K11)</f>
        <v>12525.1</v>
      </c>
      <c r="M12">
        <f>N12/K12</f>
        <v>7.6252269442958536</v>
      </c>
      <c r="N12">
        <f>SUM(N8:N11)</f>
        <v>95506.73</v>
      </c>
    </row>
    <row r="13" spans="2:14">
      <c r="C13" s="3527" t="s">
        <v>3568</v>
      </c>
      <c r="D13" s="3527" t="s">
        <v>3569</v>
      </c>
      <c r="E13" s="3530" t="s">
        <v>3598</v>
      </c>
      <c r="F13">
        <v>1</v>
      </c>
      <c r="G13">
        <v>2513.5</v>
      </c>
      <c r="H13" s="3527" t="s">
        <v>3596</v>
      </c>
    </row>
    <row r="14" spans="2:14">
      <c r="C14" s="3527" t="s">
        <v>3568</v>
      </c>
      <c r="D14" s="3527" t="s">
        <v>3569</v>
      </c>
      <c r="E14" s="3530" t="s">
        <v>3599</v>
      </c>
      <c r="F14">
        <v>1</v>
      </c>
      <c r="G14">
        <v>11</v>
      </c>
      <c r="H14" s="3527" t="s">
        <v>3596</v>
      </c>
    </row>
    <row r="15" spans="2:14">
      <c r="C15" s="3527" t="s">
        <v>3568</v>
      </c>
      <c r="D15" s="3527" t="s">
        <v>3569</v>
      </c>
      <c r="E15" s="3530" t="s">
        <v>3573</v>
      </c>
      <c r="F15" s="3535">
        <v>5</v>
      </c>
      <c r="G15" s="3535">
        <v>1168.2</v>
      </c>
      <c r="H15" s="3536" t="s">
        <v>3569</v>
      </c>
    </row>
    <row r="16" spans="2:14">
      <c r="C16" s="3527" t="s">
        <v>3568</v>
      </c>
      <c r="D16" s="3527" t="s">
        <v>3569</v>
      </c>
      <c r="E16" s="3530" t="s">
        <v>3573</v>
      </c>
      <c r="F16" s="3535">
        <v>6</v>
      </c>
      <c r="G16" s="3535">
        <v>1168.2</v>
      </c>
      <c r="H16" s="3536" t="s">
        <v>3569</v>
      </c>
    </row>
    <row r="17" spans="2:8">
      <c r="C17" s="3527" t="s">
        <v>3568</v>
      </c>
      <c r="D17" s="3527" t="s">
        <v>3569</v>
      </c>
      <c r="E17" s="3530" t="s">
        <v>3600</v>
      </c>
      <c r="F17" s="3535">
        <v>4</v>
      </c>
      <c r="G17" s="3535">
        <v>2703.6</v>
      </c>
      <c r="H17" s="3536" t="s">
        <v>3596</v>
      </c>
    </row>
    <row r="18" spans="2:8">
      <c r="C18" s="3527" t="s">
        <v>3568</v>
      </c>
      <c r="D18" s="3527" t="s">
        <v>3569</v>
      </c>
      <c r="E18" s="3530" t="s">
        <v>3601</v>
      </c>
      <c r="F18">
        <v>1</v>
      </c>
      <c r="G18">
        <v>114.1</v>
      </c>
      <c r="H18" s="3527" t="s">
        <v>3596</v>
      </c>
    </row>
    <row r="19" spans="2:8">
      <c r="C19" s="3527" t="s">
        <v>3568</v>
      </c>
      <c r="D19" s="3527" t="s">
        <v>3569</v>
      </c>
      <c r="E19" s="3530" t="s">
        <v>3602</v>
      </c>
      <c r="F19">
        <v>1</v>
      </c>
      <c r="G19">
        <v>71.5</v>
      </c>
      <c r="H19" s="3527" t="s">
        <v>3596</v>
      </c>
    </row>
    <row r="20" spans="2:8">
      <c r="C20" s="3527" t="s">
        <v>3568</v>
      </c>
      <c r="D20" s="3527" t="s">
        <v>3569</v>
      </c>
      <c r="E20" s="3530" t="s">
        <v>3603</v>
      </c>
      <c r="F20" s="3535">
        <v>3</v>
      </c>
      <c r="G20" s="3535">
        <v>3686.7</v>
      </c>
      <c r="H20" s="3536" t="s">
        <v>3596</v>
      </c>
    </row>
    <row r="21" spans="2:8">
      <c r="C21" s="3527" t="s">
        <v>3568</v>
      </c>
      <c r="D21" s="3527" t="s">
        <v>3569</v>
      </c>
      <c r="E21" s="3530" t="s">
        <v>3604</v>
      </c>
      <c r="F21">
        <v>1</v>
      </c>
      <c r="G21">
        <v>31.2</v>
      </c>
      <c r="H21" s="3527" t="s">
        <v>3596</v>
      </c>
    </row>
    <row r="22" spans="2:8">
      <c r="C22" s="3527" t="s">
        <v>3568</v>
      </c>
      <c r="D22" s="3527" t="s">
        <v>3569</v>
      </c>
      <c r="E22" s="3530" t="s">
        <v>3605</v>
      </c>
      <c r="F22">
        <v>1</v>
      </c>
      <c r="G22">
        <v>17.2</v>
      </c>
      <c r="H22" s="3527" t="s">
        <v>3596</v>
      </c>
    </row>
    <row r="23" spans="2:8">
      <c r="B23" s="3527" t="s">
        <v>3606</v>
      </c>
      <c r="C23" s="3527" t="s">
        <v>3568</v>
      </c>
      <c r="D23" s="3527" t="s">
        <v>3569</v>
      </c>
      <c r="E23" s="3530" t="s">
        <v>3607</v>
      </c>
      <c r="F23">
        <v>11</v>
      </c>
      <c r="G23">
        <v>146.69999999999999</v>
      </c>
      <c r="H23" s="3527" t="s">
        <v>3569</v>
      </c>
    </row>
    <row r="24" spans="2:8">
      <c r="C24" s="3532" t="s">
        <v>3568</v>
      </c>
      <c r="D24" s="3527" t="s">
        <v>3569</v>
      </c>
      <c r="E24" s="3530" t="s">
        <v>3608</v>
      </c>
      <c r="F24" s="3535">
        <v>19</v>
      </c>
      <c r="G24" s="3535">
        <v>330.3</v>
      </c>
      <c r="H24" s="3536" t="s">
        <v>3569</v>
      </c>
    </row>
    <row r="25" spans="2:8">
      <c r="C25" s="3532" t="s">
        <v>3568</v>
      </c>
      <c r="D25" s="3527" t="s">
        <v>3569</v>
      </c>
      <c r="E25" s="3530" t="s">
        <v>3609</v>
      </c>
      <c r="F25" s="3535">
        <v>19</v>
      </c>
      <c r="G25" s="3535">
        <v>233.7</v>
      </c>
      <c r="H25" s="3536" t="s">
        <v>3569</v>
      </c>
    </row>
    <row r="26" spans="2:8">
      <c r="B26" s="3527" t="s">
        <v>3610</v>
      </c>
      <c r="C26" s="3527" t="s">
        <v>3568</v>
      </c>
      <c r="D26" s="3527" t="s">
        <v>3569</v>
      </c>
      <c r="E26" s="3530" t="s">
        <v>3611</v>
      </c>
      <c r="F26" s="3536" t="s">
        <v>3612</v>
      </c>
      <c r="G26" s="3535">
        <v>1911.2</v>
      </c>
      <c r="H26" s="3536" t="s">
        <v>3569</v>
      </c>
    </row>
    <row r="27" spans="2:8">
      <c r="G27">
        <f>SUM(G2:G26)</f>
        <v>32923.300000000003</v>
      </c>
    </row>
    <row r="30" spans="2:8">
      <c r="C30" s="3527" t="s">
        <v>3568</v>
      </c>
      <c r="D30" s="3527" t="s">
        <v>2813</v>
      </c>
      <c r="E30" s="3530" t="s">
        <v>3598</v>
      </c>
      <c r="F30">
        <v>1</v>
      </c>
      <c r="G30">
        <v>2513.5</v>
      </c>
      <c r="H30" s="3527" t="s">
        <v>3448</v>
      </c>
    </row>
    <row r="31" spans="2:8">
      <c r="C31" s="3527" t="s">
        <v>3568</v>
      </c>
      <c r="D31" s="3527" t="s">
        <v>2813</v>
      </c>
      <c r="E31" s="3530" t="s">
        <v>3599</v>
      </c>
      <c r="F31">
        <v>1</v>
      </c>
      <c r="G31">
        <v>11</v>
      </c>
      <c r="H31" s="3527" t="s">
        <v>3448</v>
      </c>
    </row>
    <row r="32" spans="2:8">
      <c r="C32" s="3527" t="s">
        <v>3568</v>
      </c>
      <c r="D32" s="3527" t="s">
        <v>2813</v>
      </c>
      <c r="E32" s="3530" t="s">
        <v>3601</v>
      </c>
      <c r="F32">
        <v>1</v>
      </c>
      <c r="G32">
        <v>114.1</v>
      </c>
      <c r="H32" s="3527" t="s">
        <v>3448</v>
      </c>
    </row>
    <row r="33" spans="3:8">
      <c r="C33" s="3527" t="s">
        <v>3568</v>
      </c>
      <c r="D33" s="3527" t="s">
        <v>2813</v>
      </c>
      <c r="E33" s="3530" t="s">
        <v>3602</v>
      </c>
      <c r="F33">
        <v>1</v>
      </c>
      <c r="G33">
        <v>71.5</v>
      </c>
      <c r="H33" s="3527" t="s">
        <v>3448</v>
      </c>
    </row>
    <row r="34" spans="3:8">
      <c r="C34" s="3527" t="s">
        <v>3568</v>
      </c>
      <c r="D34" s="3527" t="s">
        <v>2813</v>
      </c>
      <c r="E34" s="3530" t="s">
        <v>3604</v>
      </c>
      <c r="F34">
        <v>1</v>
      </c>
      <c r="G34">
        <v>31.2</v>
      </c>
      <c r="H34" s="3527" t="s">
        <v>3448</v>
      </c>
    </row>
    <row r="35" spans="3:8">
      <c r="C35" s="3527" t="s">
        <v>3568</v>
      </c>
      <c r="D35" s="3527" t="s">
        <v>2813</v>
      </c>
      <c r="E35" s="3530" t="s">
        <v>3605</v>
      </c>
      <c r="F35">
        <v>1</v>
      </c>
      <c r="G35">
        <v>17.2</v>
      </c>
      <c r="H35" s="3527" t="s">
        <v>3448</v>
      </c>
    </row>
    <row r="36" spans="3:8">
      <c r="C36" s="3532" t="s">
        <v>3575</v>
      </c>
      <c r="D36" s="3527" t="s">
        <v>2813</v>
      </c>
      <c r="E36" s="3530" t="s">
        <v>3586</v>
      </c>
      <c r="F36">
        <v>2</v>
      </c>
      <c r="G36">
        <v>2001.3</v>
      </c>
      <c r="H36" s="3527" t="s">
        <v>3448</v>
      </c>
    </row>
    <row r="37" spans="3:8">
      <c r="C37" s="3527" t="s">
        <v>3568</v>
      </c>
      <c r="D37" s="3527" t="s">
        <v>2813</v>
      </c>
      <c r="E37" s="3530" t="s">
        <v>3597</v>
      </c>
      <c r="F37">
        <v>2</v>
      </c>
      <c r="G37">
        <v>1386</v>
      </c>
      <c r="H37" s="3527" t="s">
        <v>3448</v>
      </c>
    </row>
    <row r="38" spans="3:8">
      <c r="C38" s="3527" t="s">
        <v>3568</v>
      </c>
      <c r="D38" s="3527" t="s">
        <v>2813</v>
      </c>
      <c r="E38" s="3530" t="s">
        <v>3603</v>
      </c>
      <c r="F38" s="3535">
        <v>3</v>
      </c>
      <c r="G38" s="3535">
        <v>3686.7</v>
      </c>
      <c r="H38" s="3536" t="s">
        <v>3448</v>
      </c>
    </row>
    <row r="39" spans="3:8">
      <c r="C39" s="3527" t="s">
        <v>3568</v>
      </c>
      <c r="D39" s="3527" t="s">
        <v>2813</v>
      </c>
      <c r="E39" s="3530" t="s">
        <v>3600</v>
      </c>
      <c r="F39" s="3535">
        <v>4</v>
      </c>
      <c r="G39" s="3535">
        <v>2703.6</v>
      </c>
      <c r="H39" s="3536" t="s">
        <v>3448</v>
      </c>
    </row>
    <row r="40" spans="3:8">
      <c r="C40" s="3527" t="s">
        <v>3568</v>
      </c>
      <c r="D40" s="3527" t="s">
        <v>2813</v>
      </c>
      <c r="E40" s="3530" t="s">
        <v>3573</v>
      </c>
      <c r="F40" s="3535">
        <v>5</v>
      </c>
      <c r="G40" s="3535">
        <v>1168.2</v>
      </c>
      <c r="H40" s="3536" t="s">
        <v>2813</v>
      </c>
    </row>
    <row r="41" spans="3:8">
      <c r="C41" s="3527" t="s">
        <v>3568</v>
      </c>
      <c r="D41" s="3527" t="s">
        <v>2813</v>
      </c>
      <c r="E41" s="3530" t="s">
        <v>3573</v>
      </c>
      <c r="F41" s="3535">
        <v>6</v>
      </c>
      <c r="G41" s="3535">
        <v>1168.2</v>
      </c>
      <c r="H41" s="3536" t="s">
        <v>2813</v>
      </c>
    </row>
    <row r="42" spans="3:8">
      <c r="C42" s="3527" t="s">
        <v>3568</v>
      </c>
      <c r="D42" s="3527" t="s">
        <v>2813</v>
      </c>
      <c r="E42" s="3527" t="s">
        <v>3573</v>
      </c>
      <c r="F42" s="3535">
        <v>7</v>
      </c>
      <c r="G42" s="3535">
        <v>1168.2</v>
      </c>
      <c r="H42" s="3536" t="s">
        <v>2813</v>
      </c>
    </row>
    <row r="43" spans="3:8">
      <c r="C43" s="3532" t="s">
        <v>3575</v>
      </c>
      <c r="D43" s="3527" t="s">
        <v>2813</v>
      </c>
      <c r="E43" s="3527" t="s">
        <v>3581</v>
      </c>
      <c r="F43">
        <v>11</v>
      </c>
      <c r="G43">
        <v>191.9</v>
      </c>
      <c r="H43" s="3527" t="s">
        <v>2813</v>
      </c>
    </row>
    <row r="44" spans="3:8">
      <c r="C44" s="3532" t="s">
        <v>3575</v>
      </c>
      <c r="D44" s="3527" t="s">
        <v>2813</v>
      </c>
      <c r="E44" s="3529" t="s">
        <v>3582</v>
      </c>
      <c r="F44">
        <v>11</v>
      </c>
      <c r="G44">
        <v>99.3</v>
      </c>
      <c r="H44" s="3527" t="s">
        <v>2813</v>
      </c>
    </row>
    <row r="45" spans="3:8">
      <c r="C45" s="3527" t="s">
        <v>3568</v>
      </c>
      <c r="D45" s="3527" t="s">
        <v>2813</v>
      </c>
      <c r="E45" s="3530" t="s">
        <v>3607</v>
      </c>
      <c r="F45">
        <v>11</v>
      </c>
      <c r="G45">
        <v>146.69999999999999</v>
      </c>
      <c r="H45" s="3527" t="s">
        <v>2813</v>
      </c>
    </row>
    <row r="46" spans="3:8">
      <c r="C46" s="3532" t="s">
        <v>3575</v>
      </c>
      <c r="D46" s="3527" t="s">
        <v>2813</v>
      </c>
      <c r="E46" s="3527" t="s">
        <v>3583</v>
      </c>
      <c r="F46" s="3534" t="s">
        <v>3584</v>
      </c>
      <c r="G46" s="3535">
        <v>3822.4</v>
      </c>
      <c r="H46" s="3536" t="s">
        <v>2813</v>
      </c>
    </row>
    <row r="47" spans="3:8">
      <c r="C47" s="3532" t="s">
        <v>3575</v>
      </c>
      <c r="D47" s="3527" t="s">
        <v>2813</v>
      </c>
      <c r="E47" s="3527" t="s">
        <v>3578</v>
      </c>
      <c r="F47" s="3536" t="s">
        <v>3579</v>
      </c>
      <c r="G47" s="3535">
        <v>2866.8</v>
      </c>
      <c r="H47" s="3536" t="s">
        <v>2813</v>
      </c>
    </row>
    <row r="48" spans="3:8">
      <c r="C48" s="3532" t="s">
        <v>3575</v>
      </c>
      <c r="D48" s="3527" t="s">
        <v>2813</v>
      </c>
      <c r="E48" s="3527" t="s">
        <v>3576</v>
      </c>
      <c r="F48" s="3535">
        <v>19</v>
      </c>
      <c r="G48" s="3535">
        <v>271.2</v>
      </c>
      <c r="H48" s="3536" t="s">
        <v>2813</v>
      </c>
    </row>
    <row r="49" spans="3:8">
      <c r="C49" s="3532" t="s">
        <v>3568</v>
      </c>
      <c r="D49" s="3527" t="s">
        <v>2813</v>
      </c>
      <c r="E49" s="3530" t="s">
        <v>3608</v>
      </c>
      <c r="F49" s="3535">
        <v>19</v>
      </c>
      <c r="G49" s="3535">
        <v>330.3</v>
      </c>
      <c r="H49" s="3536" t="s">
        <v>2813</v>
      </c>
    </row>
    <row r="50" spans="3:8">
      <c r="C50" s="3532" t="s">
        <v>3568</v>
      </c>
      <c r="D50" s="3527" t="s">
        <v>2813</v>
      </c>
      <c r="E50" s="3530" t="s">
        <v>3609</v>
      </c>
      <c r="F50" s="3535">
        <v>19</v>
      </c>
      <c r="G50" s="3535">
        <v>233.7</v>
      </c>
      <c r="H50" s="3536" t="s">
        <v>2813</v>
      </c>
    </row>
    <row r="51" spans="3:8">
      <c r="C51" s="3532" t="s">
        <v>3575</v>
      </c>
      <c r="D51" s="3527" t="s">
        <v>2813</v>
      </c>
      <c r="E51" s="3527" t="s">
        <v>3593</v>
      </c>
      <c r="F51" s="3527" t="s">
        <v>3594</v>
      </c>
      <c r="G51">
        <v>2336.4</v>
      </c>
      <c r="H51" s="3527" t="s">
        <v>2813</v>
      </c>
    </row>
    <row r="52" spans="3:8">
      <c r="C52" s="3527" t="s">
        <v>3568</v>
      </c>
      <c r="D52" s="3527" t="s">
        <v>2813</v>
      </c>
      <c r="E52" s="3530" t="s">
        <v>3611</v>
      </c>
      <c r="F52" s="3536" t="s">
        <v>3612</v>
      </c>
      <c r="G52" s="3535">
        <v>1911.2</v>
      </c>
      <c r="H52" s="3536" t="s">
        <v>2813</v>
      </c>
    </row>
    <row r="53" spans="3:8">
      <c r="C53" s="3532" t="s">
        <v>3575</v>
      </c>
      <c r="D53" s="3527" t="s">
        <v>2813</v>
      </c>
      <c r="E53" s="3527" t="s">
        <v>3588</v>
      </c>
      <c r="F53" s="3535">
        <v>25</v>
      </c>
      <c r="G53" s="3535">
        <v>1168.2</v>
      </c>
      <c r="H53" s="3536" t="s">
        <v>2813</v>
      </c>
    </row>
    <row r="54" spans="3:8">
      <c r="C54" s="3527" t="s">
        <v>3568</v>
      </c>
      <c r="D54" s="3527" t="s">
        <v>2813</v>
      </c>
      <c r="E54" s="3527" t="s">
        <v>3590</v>
      </c>
      <c r="F54" s="3536" t="s">
        <v>3591</v>
      </c>
      <c r="G54" s="3535">
        <v>3504.5</v>
      </c>
      <c r="H54" s="3536" t="s">
        <v>2813</v>
      </c>
    </row>
  </sheetData>
  <autoFilter ref="E1:H27"/>
  <phoneticPr fontId="134"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J26"/>
  <sheetViews>
    <sheetView workbookViewId="0">
      <selection activeCell="C8" sqref="C8:C35"/>
    </sheetView>
  </sheetViews>
  <sheetFormatPr defaultRowHeight="13.5"/>
  <cols>
    <col min="3" max="3" width="28.875" customWidth="1"/>
    <col min="10" max="10" width="34" customWidth="1"/>
  </cols>
  <sheetData>
    <row r="2" spans="3:10">
      <c r="F2" s="3527" t="s">
        <v>3571</v>
      </c>
      <c r="G2" s="3527" t="s">
        <v>3572</v>
      </c>
      <c r="H2" s="3527" t="s">
        <v>3570</v>
      </c>
      <c r="I2" s="3527" t="s">
        <v>3587</v>
      </c>
    </row>
    <row r="3" spans="3:10">
      <c r="C3" s="3527" t="s">
        <v>3567</v>
      </c>
      <c r="D3" s="3527" t="s">
        <v>3568</v>
      </c>
      <c r="E3" s="3527" t="s">
        <v>2813</v>
      </c>
      <c r="F3" s="3527" t="s">
        <v>3573</v>
      </c>
      <c r="G3" s="3535">
        <v>7</v>
      </c>
      <c r="H3" s="3535">
        <v>1168.2</v>
      </c>
      <c r="I3" s="3536" t="s">
        <v>2813</v>
      </c>
    </row>
    <row r="4" spans="3:10">
      <c r="C4" s="3527" t="s">
        <v>3574</v>
      </c>
      <c r="D4" s="3532" t="s">
        <v>3575</v>
      </c>
      <c r="E4" s="3527" t="s">
        <v>2813</v>
      </c>
      <c r="F4" s="3527" t="s">
        <v>3576</v>
      </c>
      <c r="G4" s="3535">
        <v>19</v>
      </c>
      <c r="H4" s="3535">
        <v>271.2</v>
      </c>
      <c r="I4" s="3536" t="s">
        <v>2813</v>
      </c>
    </row>
    <row r="5" spans="3:10">
      <c r="D5" s="3532" t="s">
        <v>3575</v>
      </c>
      <c r="E5" s="3527" t="s">
        <v>2813</v>
      </c>
      <c r="F5" s="3527" t="s">
        <v>3578</v>
      </c>
      <c r="G5" s="3536" t="s">
        <v>3579</v>
      </c>
      <c r="H5" s="3535">
        <v>2866.8</v>
      </c>
      <c r="I5" s="3536" t="s">
        <v>2813</v>
      </c>
    </row>
    <row r="6" spans="3:10">
      <c r="C6" s="3527" t="s">
        <v>3580</v>
      </c>
      <c r="D6" s="3532" t="s">
        <v>3575</v>
      </c>
      <c r="E6" s="3527" t="s">
        <v>2813</v>
      </c>
      <c r="F6" s="3527" t="s">
        <v>3581</v>
      </c>
      <c r="G6">
        <v>11</v>
      </c>
      <c r="H6">
        <v>191.9</v>
      </c>
      <c r="I6" s="3527" t="s">
        <v>2813</v>
      </c>
    </row>
    <row r="7" spans="3:10">
      <c r="D7" s="3532" t="s">
        <v>3575</v>
      </c>
      <c r="E7" s="3527" t="s">
        <v>2813</v>
      </c>
      <c r="F7" s="3529" t="s">
        <v>3582</v>
      </c>
      <c r="G7">
        <v>11</v>
      </c>
      <c r="H7">
        <v>99.3</v>
      </c>
      <c r="I7" s="3527" t="s">
        <v>2813</v>
      </c>
    </row>
    <row r="8" spans="3:10">
      <c r="D8" s="3532" t="s">
        <v>3575</v>
      </c>
      <c r="E8" s="3527" t="s">
        <v>2813</v>
      </c>
      <c r="F8" s="3527" t="s">
        <v>3583</v>
      </c>
      <c r="G8" s="3534" t="s">
        <v>3584</v>
      </c>
      <c r="H8" s="3535">
        <v>3822.4</v>
      </c>
      <c r="I8" s="3536" t="s">
        <v>2813</v>
      </c>
    </row>
    <row r="9" spans="3:10">
      <c r="C9" s="3527" t="s">
        <v>3585</v>
      </c>
      <c r="D9" s="3532" t="s">
        <v>3575</v>
      </c>
      <c r="E9" s="3527" t="s">
        <v>2813</v>
      </c>
      <c r="F9" s="3530" t="s">
        <v>3586</v>
      </c>
      <c r="G9">
        <v>2</v>
      </c>
      <c r="H9">
        <v>2001.3</v>
      </c>
      <c r="I9" s="3527" t="s">
        <v>3448</v>
      </c>
    </row>
    <row r="10" spans="3:10">
      <c r="D10" s="3532" t="s">
        <v>3575</v>
      </c>
      <c r="E10" s="3527" t="s">
        <v>2813</v>
      </c>
      <c r="F10" s="3527" t="s">
        <v>3588</v>
      </c>
      <c r="G10" s="3535">
        <v>25</v>
      </c>
      <c r="H10" s="3535">
        <v>1168.2</v>
      </c>
      <c r="I10" s="3536" t="s">
        <v>2813</v>
      </c>
      <c r="J10" s="3536" t="s">
        <v>3617</v>
      </c>
    </row>
    <row r="11" spans="3:10">
      <c r="C11" s="3527" t="s">
        <v>3589</v>
      </c>
      <c r="D11" s="3527" t="s">
        <v>3568</v>
      </c>
      <c r="E11" s="3527" t="s">
        <v>2813</v>
      </c>
      <c r="F11" s="3527" t="s">
        <v>3590</v>
      </c>
      <c r="G11" s="3536" t="s">
        <v>3591</v>
      </c>
      <c r="H11" s="3535">
        <v>3504.5</v>
      </c>
      <c r="I11" s="3536" t="s">
        <v>2813</v>
      </c>
    </row>
    <row r="12" spans="3:10">
      <c r="C12" s="3527" t="s">
        <v>3595</v>
      </c>
      <c r="D12" s="3527" t="s">
        <v>3568</v>
      </c>
      <c r="E12" s="3527" t="s">
        <v>2813</v>
      </c>
      <c r="F12" s="3530" t="s">
        <v>3597</v>
      </c>
      <c r="G12">
        <v>2</v>
      </c>
      <c r="H12">
        <v>1386</v>
      </c>
      <c r="I12" s="3527" t="s">
        <v>3448</v>
      </c>
    </row>
    <row r="13" spans="3:10">
      <c r="D13" s="3527" t="s">
        <v>3568</v>
      </c>
      <c r="E13" s="3527" t="s">
        <v>2813</v>
      </c>
      <c r="F13" s="3530" t="s">
        <v>3598</v>
      </c>
      <c r="G13">
        <v>1</v>
      </c>
      <c r="H13">
        <v>2513.5</v>
      </c>
      <c r="I13" s="3527" t="s">
        <v>3448</v>
      </c>
    </row>
    <row r="14" spans="3:10">
      <c r="D14" s="3527" t="s">
        <v>3568</v>
      </c>
      <c r="E14" s="3527" t="s">
        <v>2813</v>
      </c>
      <c r="F14" s="3530" t="s">
        <v>3599</v>
      </c>
      <c r="G14">
        <v>1</v>
      </c>
      <c r="H14">
        <v>11</v>
      </c>
      <c r="I14" s="3527" t="s">
        <v>3448</v>
      </c>
    </row>
    <row r="15" spans="3:10">
      <c r="D15" s="3527" t="s">
        <v>3568</v>
      </c>
      <c r="E15" s="3527" t="s">
        <v>2813</v>
      </c>
      <c r="F15" s="3530" t="s">
        <v>3573</v>
      </c>
      <c r="G15" s="3535">
        <v>5</v>
      </c>
      <c r="H15" s="3535">
        <v>1168.2</v>
      </c>
      <c r="I15" s="3536" t="s">
        <v>2813</v>
      </c>
    </row>
    <row r="16" spans="3:10">
      <c r="D16" s="3527" t="s">
        <v>3568</v>
      </c>
      <c r="E16" s="3527" t="s">
        <v>2813</v>
      </c>
      <c r="F16" s="3530" t="s">
        <v>3573</v>
      </c>
      <c r="G16" s="3535">
        <v>6</v>
      </c>
      <c r="H16" s="3535">
        <v>1168.2</v>
      </c>
      <c r="I16" s="3536" t="s">
        <v>2813</v>
      </c>
    </row>
    <row r="17" spans="3:10">
      <c r="D17" s="3527" t="s">
        <v>3568</v>
      </c>
      <c r="E17" s="3527" t="s">
        <v>2813</v>
      </c>
      <c r="F17" s="3530" t="s">
        <v>3600</v>
      </c>
      <c r="G17" s="3535">
        <v>4</v>
      </c>
      <c r="H17" s="3535">
        <v>2703.6</v>
      </c>
      <c r="I17" s="3536" t="s">
        <v>3448</v>
      </c>
    </row>
    <row r="18" spans="3:10">
      <c r="D18" s="3527" t="s">
        <v>3568</v>
      </c>
      <c r="E18" s="3527" t="s">
        <v>2813</v>
      </c>
      <c r="F18" s="3530" t="s">
        <v>3601</v>
      </c>
      <c r="G18">
        <v>1</v>
      </c>
      <c r="H18">
        <v>114.1</v>
      </c>
      <c r="I18" s="3527" t="s">
        <v>3448</v>
      </c>
    </row>
    <row r="19" spans="3:10">
      <c r="D19" s="3527" t="s">
        <v>3568</v>
      </c>
      <c r="E19" s="3527" t="s">
        <v>2813</v>
      </c>
      <c r="F19" s="3530" t="s">
        <v>3602</v>
      </c>
      <c r="G19">
        <v>1</v>
      </c>
      <c r="H19">
        <v>71.5</v>
      </c>
      <c r="I19" s="3527" t="s">
        <v>3448</v>
      </c>
    </row>
    <row r="20" spans="3:10">
      <c r="D20" s="3527" t="s">
        <v>3568</v>
      </c>
      <c r="E20" s="3527" t="s">
        <v>2813</v>
      </c>
      <c r="F20" s="3530" t="s">
        <v>3603</v>
      </c>
      <c r="G20" s="3535">
        <v>3</v>
      </c>
      <c r="H20" s="3535">
        <v>3686.7</v>
      </c>
      <c r="I20" s="3536" t="s">
        <v>3448</v>
      </c>
    </row>
    <row r="21" spans="3:10">
      <c r="D21" s="3527" t="s">
        <v>3568</v>
      </c>
      <c r="E21" s="3527" t="s">
        <v>2813</v>
      </c>
      <c r="F21" s="3530" t="s">
        <v>3604</v>
      </c>
      <c r="G21">
        <v>1</v>
      </c>
      <c r="H21">
        <v>31.2</v>
      </c>
      <c r="I21" s="3527" t="s">
        <v>3448</v>
      </c>
    </row>
    <row r="22" spans="3:10">
      <c r="D22" s="3527" t="s">
        <v>3568</v>
      </c>
      <c r="E22" s="3527" t="s">
        <v>2813</v>
      </c>
      <c r="F22" s="3530" t="s">
        <v>3605</v>
      </c>
      <c r="G22">
        <v>1</v>
      </c>
      <c r="H22">
        <v>17.2</v>
      </c>
      <c r="I22" s="3527" t="s">
        <v>3448</v>
      </c>
    </row>
    <row r="23" spans="3:10">
      <c r="C23" s="3527" t="s">
        <v>3606</v>
      </c>
      <c r="D23" s="3527" t="s">
        <v>3568</v>
      </c>
      <c r="E23" s="3527" t="s">
        <v>2813</v>
      </c>
      <c r="F23" s="3530" t="s">
        <v>3607</v>
      </c>
      <c r="G23">
        <v>11</v>
      </c>
      <c r="H23">
        <v>146.69999999999999</v>
      </c>
      <c r="I23" s="3527" t="s">
        <v>2813</v>
      </c>
    </row>
    <row r="24" spans="3:10">
      <c r="D24" s="3532" t="s">
        <v>3568</v>
      </c>
      <c r="E24" s="3527" t="s">
        <v>2813</v>
      </c>
      <c r="F24" s="3530" t="s">
        <v>3608</v>
      </c>
      <c r="G24" s="3535">
        <v>19</v>
      </c>
      <c r="H24" s="3535">
        <v>330.3</v>
      </c>
      <c r="I24" s="3536" t="s">
        <v>2813</v>
      </c>
      <c r="J24" s="3536" t="s">
        <v>3618</v>
      </c>
    </row>
    <row r="25" spans="3:10">
      <c r="D25" s="3532" t="s">
        <v>3568</v>
      </c>
      <c r="E25" s="3527" t="s">
        <v>2813</v>
      </c>
      <c r="F25" s="3530" t="s">
        <v>3609</v>
      </c>
      <c r="G25" s="3535">
        <v>19</v>
      </c>
      <c r="H25" s="3535">
        <v>233.7</v>
      </c>
      <c r="I25" s="3536" t="s">
        <v>2813</v>
      </c>
      <c r="J25" s="3536" t="s">
        <v>3618</v>
      </c>
    </row>
    <row r="26" spans="3:10">
      <c r="C26" s="3527" t="s">
        <v>3610</v>
      </c>
      <c r="D26" s="3527" t="s">
        <v>3568</v>
      </c>
      <c r="E26" s="3527" t="s">
        <v>2813</v>
      </c>
      <c r="F26" s="3530" t="s">
        <v>3611</v>
      </c>
      <c r="G26" s="3536" t="s">
        <v>3612</v>
      </c>
      <c r="H26" s="3535">
        <v>1911.2</v>
      </c>
      <c r="I26" s="3536" t="s">
        <v>2813</v>
      </c>
    </row>
  </sheetData>
  <phoneticPr fontId="13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2:M21"/>
  <sheetViews>
    <sheetView workbookViewId="0">
      <selection activeCell="G25" sqref="G25"/>
    </sheetView>
  </sheetViews>
  <sheetFormatPr defaultRowHeight="13.5"/>
  <cols>
    <col min="1" max="1" width="4.75" customWidth="1"/>
    <col min="2" max="2" width="8.625" customWidth="1"/>
    <col min="3" max="3" width="6.375" customWidth="1"/>
    <col min="4" max="4" width="11.375" customWidth="1"/>
    <col min="7" max="7" width="26.875" customWidth="1"/>
    <col min="8" max="8" width="27.375" customWidth="1"/>
    <col min="9" max="9" width="20.75" hidden="1" customWidth="1"/>
    <col min="10" max="10" width="15" customWidth="1"/>
    <col min="12" max="12" width="11.625" customWidth="1"/>
  </cols>
  <sheetData>
    <row r="2" spans="1:13">
      <c r="A2" s="3537" t="s">
        <v>3619</v>
      </c>
      <c r="B2" s="3537" t="s">
        <v>3620</v>
      </c>
      <c r="C2" s="3537" t="s">
        <v>3621</v>
      </c>
      <c r="D2" s="3537" t="s">
        <v>3622</v>
      </c>
      <c r="E2" s="3537" t="s">
        <v>3623</v>
      </c>
      <c r="F2" s="3537" t="s">
        <v>3624</v>
      </c>
      <c r="G2" s="3537" t="s">
        <v>3628</v>
      </c>
      <c r="H2" s="3537" t="s">
        <v>3641</v>
      </c>
      <c r="I2" s="3537" t="s">
        <v>3635</v>
      </c>
      <c r="J2" s="3537" t="s">
        <v>3631</v>
      </c>
      <c r="K2" s="3537" t="s">
        <v>3625</v>
      </c>
      <c r="L2" s="3537" t="s">
        <v>3626</v>
      </c>
    </row>
    <row r="3" spans="1:13">
      <c r="A3" s="3538">
        <v>1</v>
      </c>
      <c r="B3" s="3734" t="s">
        <v>3627</v>
      </c>
      <c r="C3" s="3539" t="s">
        <v>3603</v>
      </c>
      <c r="D3" s="3540">
        <v>3</v>
      </c>
      <c r="E3" s="3540">
        <v>3686.7</v>
      </c>
      <c r="F3" s="3541" t="s">
        <v>3448</v>
      </c>
      <c r="G3" s="3738" t="s">
        <v>3630</v>
      </c>
      <c r="H3" s="3736" t="s">
        <v>3595</v>
      </c>
      <c r="I3" s="3538"/>
      <c r="J3" s="3538"/>
      <c r="K3" s="3545" t="s">
        <v>3642</v>
      </c>
      <c r="L3" s="3537"/>
    </row>
    <row r="4" spans="1:13">
      <c r="A4" s="3538">
        <v>2</v>
      </c>
      <c r="B4" s="3735"/>
      <c r="C4" s="3539" t="s">
        <v>3600</v>
      </c>
      <c r="D4" s="3540">
        <v>4</v>
      </c>
      <c r="E4" s="3540">
        <v>2703.6</v>
      </c>
      <c r="F4" s="3541" t="s">
        <v>3448</v>
      </c>
      <c r="G4" s="3737"/>
      <c r="H4" s="3737"/>
      <c r="I4" s="3538"/>
      <c r="J4" s="3538"/>
      <c r="K4" s="3545" t="s">
        <v>3642</v>
      </c>
      <c r="L4" s="3537"/>
    </row>
    <row r="5" spans="1:13">
      <c r="A5" s="3538">
        <v>3</v>
      </c>
      <c r="B5" s="3735"/>
      <c r="C5" s="3539" t="s">
        <v>3573</v>
      </c>
      <c r="D5" s="3540">
        <v>5</v>
      </c>
      <c r="E5" s="3540">
        <v>1168.2</v>
      </c>
      <c r="F5" s="3541" t="s">
        <v>2813</v>
      </c>
      <c r="G5" s="3737"/>
      <c r="H5" s="3737"/>
      <c r="I5" s="3538"/>
      <c r="J5" s="3538"/>
      <c r="K5" s="3545" t="s">
        <v>3642</v>
      </c>
      <c r="L5" s="3537"/>
    </row>
    <row r="6" spans="1:13">
      <c r="A6" s="3538">
        <v>4</v>
      </c>
      <c r="B6" s="3735"/>
      <c r="C6" s="3539" t="s">
        <v>3573</v>
      </c>
      <c r="D6" s="3540">
        <v>6</v>
      </c>
      <c r="E6" s="3540">
        <v>1168.2</v>
      </c>
      <c r="F6" s="3541" t="s">
        <v>2813</v>
      </c>
      <c r="G6" s="3737"/>
      <c r="H6" s="3737"/>
      <c r="I6" s="3538"/>
      <c r="J6" s="3538"/>
      <c r="K6" s="3545" t="s">
        <v>3642</v>
      </c>
      <c r="L6" s="3537"/>
    </row>
    <row r="7" spans="1:13" ht="27">
      <c r="A7" s="3538">
        <v>5</v>
      </c>
      <c r="B7" s="3735"/>
      <c r="C7" s="3537" t="s">
        <v>3573</v>
      </c>
      <c r="D7" s="3540">
        <v>7</v>
      </c>
      <c r="E7" s="3540">
        <v>1168.2</v>
      </c>
      <c r="F7" s="3541" t="s">
        <v>2813</v>
      </c>
      <c r="G7" s="3537" t="s">
        <v>3675</v>
      </c>
      <c r="H7" s="3537" t="s">
        <v>3567</v>
      </c>
      <c r="I7" s="3538"/>
      <c r="J7" s="3544" t="s">
        <v>3632</v>
      </c>
      <c r="K7" s="3537" t="s">
        <v>3629</v>
      </c>
      <c r="L7" s="3542">
        <v>56665</v>
      </c>
    </row>
    <row r="8" spans="1:13">
      <c r="A8" s="3538">
        <v>7</v>
      </c>
      <c r="B8" s="3735"/>
      <c r="C8" s="3537" t="s">
        <v>3578</v>
      </c>
      <c r="D8" s="3541" t="s">
        <v>3579</v>
      </c>
      <c r="E8" s="3540">
        <v>2866.8</v>
      </c>
      <c r="F8" s="3541" t="s">
        <v>2813</v>
      </c>
      <c r="G8" s="3738" t="s">
        <v>3676</v>
      </c>
      <c r="H8" s="3736" t="s">
        <v>3574</v>
      </c>
      <c r="I8" s="3538"/>
      <c r="J8" s="3538"/>
      <c r="K8" s="3545" t="s">
        <v>3642</v>
      </c>
      <c r="L8" s="3537"/>
      <c r="M8" s="3580"/>
    </row>
    <row r="9" spans="1:13">
      <c r="A9" s="3538">
        <v>8</v>
      </c>
      <c r="B9" s="3735"/>
      <c r="C9" s="3537" t="s">
        <v>3576</v>
      </c>
      <c r="D9" s="3540">
        <v>19</v>
      </c>
      <c r="E9" s="3540">
        <v>271.2</v>
      </c>
      <c r="F9" s="3541" t="s">
        <v>2813</v>
      </c>
      <c r="G9" s="3737"/>
      <c r="H9" s="3737"/>
      <c r="I9" s="3538"/>
      <c r="J9" s="3538"/>
      <c r="K9" s="3545" t="s">
        <v>3642</v>
      </c>
      <c r="L9" s="3537"/>
      <c r="M9" s="3580"/>
    </row>
    <row r="10" spans="1:13">
      <c r="A10" s="3538">
        <v>11</v>
      </c>
      <c r="B10" s="3735"/>
      <c r="C10" s="3539" t="s">
        <v>3611</v>
      </c>
      <c r="D10" s="3541" t="s">
        <v>3612</v>
      </c>
      <c r="E10" s="3540">
        <v>1911.2</v>
      </c>
      <c r="F10" s="3541" t="s">
        <v>2813</v>
      </c>
      <c r="G10" s="3541" t="s">
        <v>3677</v>
      </c>
      <c r="H10" s="3537" t="s">
        <v>3610</v>
      </c>
      <c r="I10" s="3538"/>
      <c r="J10" s="3538"/>
      <c r="K10" s="3545" t="s">
        <v>3642</v>
      </c>
      <c r="L10" s="3537"/>
      <c r="M10" s="3579"/>
    </row>
    <row r="11" spans="1:13">
      <c r="A11" s="3538">
        <v>12</v>
      </c>
      <c r="B11" s="3735"/>
      <c r="C11" s="3537" t="s">
        <v>3590</v>
      </c>
      <c r="D11" s="3541" t="s">
        <v>3636</v>
      </c>
      <c r="E11" s="3540">
        <v>3504.5</v>
      </c>
      <c r="F11" s="3541" t="s">
        <v>2813</v>
      </c>
      <c r="G11" s="3541" t="s">
        <v>3630</v>
      </c>
      <c r="H11" s="3537" t="s">
        <v>3589</v>
      </c>
      <c r="I11" s="3538"/>
      <c r="J11" s="3538"/>
      <c r="K11" s="3545" t="s">
        <v>3642</v>
      </c>
      <c r="L11" s="3537"/>
    </row>
    <row r="12" spans="1:13">
      <c r="E12">
        <f>SUM(E3:E11)</f>
        <v>18448.600000000002</v>
      </c>
    </row>
    <row r="14" spans="1:13">
      <c r="B14" s="3527" t="s">
        <v>3637</v>
      </c>
    </row>
    <row r="15" spans="1:13">
      <c r="B15" s="3527" t="s">
        <v>3640</v>
      </c>
    </row>
    <row r="16" spans="1:13">
      <c r="B16" s="3546" t="s">
        <v>3638</v>
      </c>
    </row>
    <row r="17" spans="2:12">
      <c r="B17" s="3546" t="s">
        <v>3639</v>
      </c>
    </row>
    <row r="21" spans="2:12">
      <c r="C21" s="3537" t="s">
        <v>3583</v>
      </c>
      <c r="D21" s="3543" t="s">
        <v>3584</v>
      </c>
      <c r="E21" s="3540">
        <v>3822.4</v>
      </c>
      <c r="F21" s="3541" t="s">
        <v>2813</v>
      </c>
      <c r="G21" s="3537" t="s">
        <v>3634</v>
      </c>
      <c r="H21" s="3537" t="s">
        <v>3580</v>
      </c>
      <c r="I21" s="3538"/>
      <c r="J21" s="3538"/>
      <c r="K21" s="3545" t="s">
        <v>3633</v>
      </c>
      <c r="L21" s="3537" t="s">
        <v>3633</v>
      </c>
    </row>
  </sheetData>
  <mergeCells count="5">
    <mergeCell ref="B3:B11"/>
    <mergeCell ref="H8:H9"/>
    <mergeCell ref="H3:H6"/>
    <mergeCell ref="G3:G6"/>
    <mergeCell ref="G8:G9"/>
  </mergeCells>
  <phoneticPr fontId="134"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13" sqref="A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2" width="9.5" style="1573" customWidth="1"/>
    <col min="13" max="14" width="9.5" style="1573" hidden="1"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1060</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1061</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1062</v>
      </c>
      <c r="B2" s="8" t="s">
        <v>1063</v>
      </c>
      <c r="C2" s="8" t="s">
        <v>1064</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1065</v>
      </c>
      <c r="AZ2" s="1049" t="s">
        <v>1066</v>
      </c>
      <c r="BA2" s="8" t="s">
        <v>1067</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18448.600000000002</v>
      </c>
      <c r="C3" s="1580" t="s">
        <v>1068</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1069</v>
      </c>
      <c r="B5" s="1347"/>
      <c r="C5" s="1347"/>
      <c r="D5" s="1349"/>
      <c r="E5" s="13" t="s">
        <v>0</v>
      </c>
      <c r="F5" s="13">
        <f>SUM(F13:F587)</f>
        <v>0</v>
      </c>
      <c r="G5" s="13">
        <f>SUM(G13:G587)</f>
        <v>18448.600000000002</v>
      </c>
      <c r="H5" s="13">
        <f t="shared" ref="H5:AT5" si="0">SUM(H13:H656)</f>
        <v>18448.600000000002</v>
      </c>
      <c r="I5" s="13">
        <f t="shared" si="0"/>
        <v>1168.2</v>
      </c>
      <c r="J5" s="13">
        <f t="shared" si="0"/>
        <v>0</v>
      </c>
      <c r="K5" s="13">
        <f t="shared" si="0"/>
        <v>17280.400000000001</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1069</v>
      </c>
      <c r="AW5" s="1347"/>
      <c r="AX5" s="1347"/>
      <c r="AY5" s="14" t="s">
        <v>2</v>
      </c>
      <c r="AZ5" s="15">
        <f t="shared" ref="AZ5:BT5" si="1">SUM(AZ13:AZ656)</f>
        <v>18448.600000000002</v>
      </c>
      <c r="BA5" s="15">
        <f t="shared" si="1"/>
        <v>18448.600000000002</v>
      </c>
      <c r="BB5" s="15">
        <f t="shared" si="1"/>
        <v>1168.2</v>
      </c>
      <c r="BC5" s="15">
        <f t="shared" si="1"/>
        <v>17280.400000000001</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1070</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1070</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1071</v>
      </c>
      <c r="B7" s="1569" t="s">
        <v>1072</v>
      </c>
      <c r="C7" s="1569" t="s">
        <v>1073</v>
      </c>
      <c r="D7" s="1569" t="s">
        <v>1074</v>
      </c>
      <c r="E7" s="1569" t="s">
        <v>1075</v>
      </c>
      <c r="F7" s="1569" t="s">
        <v>1076</v>
      </c>
      <c r="G7" s="1590" t="s">
        <v>1077</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1078</v>
      </c>
      <c r="AV7" s="20" t="s">
        <v>1079</v>
      </c>
      <c r="AW7" s="1578" t="s">
        <v>1080</v>
      </c>
      <c r="AX7" s="20" t="s">
        <v>1073</v>
      </c>
      <c r="AY7" s="1347" t="s">
        <v>1081</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1082</v>
      </c>
      <c r="H8" s="1596" t="s">
        <v>1083</v>
      </c>
      <c r="I8" s="1597"/>
      <c r="J8" s="1360"/>
      <c r="K8" s="1360"/>
      <c r="L8" s="1360"/>
      <c r="M8" s="1360"/>
      <c r="N8" s="1360"/>
      <c r="O8" s="1360"/>
      <c r="P8" s="1360"/>
      <c r="Q8" s="1360"/>
      <c r="R8" s="1360"/>
      <c r="S8" s="1360"/>
      <c r="T8" s="1360"/>
      <c r="U8" s="1360"/>
      <c r="V8" s="1598"/>
      <c r="W8" s="1360"/>
      <c r="X8" s="1360"/>
      <c r="Y8" s="1360"/>
      <c r="Z8" s="1360"/>
      <c r="AA8" s="1598"/>
      <c r="AB8" s="1599"/>
      <c r="AC8" s="809" t="s">
        <v>1084</v>
      </c>
      <c r="AD8" s="1600"/>
      <c r="AE8" s="1592"/>
      <c r="AF8" s="1360"/>
      <c r="AG8" s="1360"/>
      <c r="AH8" s="1360"/>
      <c r="AI8" s="1360"/>
      <c r="AJ8" s="1360"/>
      <c r="AK8" s="1360"/>
      <c r="AL8" s="1360"/>
      <c r="AM8" s="1360"/>
      <c r="AN8" s="1360"/>
      <c r="AO8" s="1360"/>
      <c r="AP8" s="1360"/>
      <c r="AQ8" s="1360"/>
      <c r="AR8" s="1360"/>
      <c r="AS8" s="1360"/>
      <c r="AT8" s="1070" t="s">
        <v>1085</v>
      </c>
      <c r="AU8" s="1594" t="s">
        <v>1086</v>
      </c>
      <c r="AV8" s="1070"/>
      <c r="AW8" s="1577"/>
      <c r="AX8" s="1070"/>
      <c r="AY8" s="1578" t="s">
        <v>1087</v>
      </c>
      <c r="AZ8" s="1359" t="s">
        <v>1088</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1089</v>
      </c>
      <c r="I9" s="1603" t="s">
        <v>3536</v>
      </c>
      <c r="J9" s="809"/>
      <c r="K9" s="1603" t="s">
        <v>3536</v>
      </c>
      <c r="L9" s="809"/>
      <c r="M9" s="1603"/>
      <c r="N9" s="809"/>
      <c r="O9" s="1603"/>
      <c r="P9" s="809"/>
      <c r="Q9" s="1603"/>
      <c r="R9" s="809"/>
      <c r="S9" s="1603"/>
      <c r="T9" s="809"/>
      <c r="U9" s="1603"/>
      <c r="V9" s="809"/>
      <c r="W9" s="1603"/>
      <c r="X9" s="1604"/>
      <c r="Y9" s="1603"/>
      <c r="Z9" s="809"/>
      <c r="AA9" s="1603"/>
      <c r="AB9" s="809"/>
      <c r="AC9" s="1595"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5"/>
      <c r="AT9" s="1594"/>
      <c r="AU9" s="1594" t="s">
        <v>1092</v>
      </c>
      <c r="AV9" s="1070"/>
      <c r="AW9" s="1577"/>
      <c r="AX9" s="1070"/>
      <c r="AY9" s="25"/>
      <c r="AZ9" s="25" t="s">
        <v>1082</v>
      </c>
      <c r="BA9" s="1606" t="s">
        <v>1093</v>
      </c>
      <c r="BB9" s="1607"/>
      <c r="BC9" s="1088"/>
      <c r="BD9" s="1088"/>
      <c r="BE9" s="1088"/>
      <c r="BF9" s="1088"/>
      <c r="BG9" s="1088"/>
      <c r="BH9" s="1088"/>
      <c r="BI9" s="1088"/>
      <c r="BJ9" s="1088"/>
      <c r="BK9" s="1608"/>
      <c r="BL9" s="12" t="s">
        <v>1094</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t="s">
        <v>21</v>
      </c>
      <c r="L10" s="809"/>
      <c r="M10" s="1609"/>
      <c r="N10" s="809"/>
      <c r="O10" s="1609"/>
      <c r="P10" s="809"/>
      <c r="Q10" s="1609"/>
      <c r="R10" s="809"/>
      <c r="S10" s="1609"/>
      <c r="T10" s="809"/>
      <c r="U10" s="1609"/>
      <c r="V10" s="809"/>
      <c r="W10" s="1609"/>
      <c r="X10" s="809"/>
      <c r="Y10" s="1609"/>
      <c r="Z10" s="809"/>
      <c r="AA10" s="1609"/>
      <c r="AB10" s="809"/>
      <c r="AC10" s="1070"/>
      <c r="AD10" s="12" t="s">
        <v>1095</v>
      </c>
      <c r="AE10" s="1610"/>
      <c r="AF10" s="12" t="s">
        <v>1095</v>
      </c>
      <c r="AG10" s="1610"/>
      <c r="AH10" s="12" t="s">
        <v>1096</v>
      </c>
      <c r="AI10" s="1610"/>
      <c r="AJ10" s="12" t="s">
        <v>1096</v>
      </c>
      <c r="AK10" s="1610"/>
      <c r="AL10" s="12" t="s">
        <v>1097</v>
      </c>
      <c r="AM10" s="1076"/>
      <c r="AN10" s="12" t="s">
        <v>1097</v>
      </c>
      <c r="AO10" s="1076"/>
      <c r="AP10" s="12" t="s">
        <v>1098</v>
      </c>
      <c r="AQ10" s="1076"/>
      <c r="AR10" s="12" t="s">
        <v>1098</v>
      </c>
      <c r="AS10" s="1076"/>
      <c r="AT10" s="1594"/>
      <c r="AU10" s="1594"/>
      <c r="AV10" s="1070"/>
      <c r="AW10" s="1577"/>
      <c r="AX10" s="1070"/>
      <c r="AY10" s="25"/>
      <c r="AZ10" s="25"/>
      <c r="BA10" s="1611" t="s">
        <v>1089</v>
      </c>
      <c r="BB10" s="1612" t="str">
        <f>I9</f>
        <v>地上</v>
      </c>
      <c r="BC10" s="26" t="str">
        <f>K9</f>
        <v>地上</v>
      </c>
      <c r="BD10" s="26">
        <f>M9</f>
        <v>0</v>
      </c>
      <c r="BE10" s="26">
        <f>O9</f>
        <v>0</v>
      </c>
      <c r="BF10" s="26">
        <f>Q9</f>
        <v>0</v>
      </c>
      <c r="BG10" s="26">
        <f>S9</f>
        <v>0</v>
      </c>
      <c r="BH10" s="26">
        <f>U9</f>
        <v>0</v>
      </c>
      <c r="BI10" s="26">
        <f>W9</f>
        <v>0</v>
      </c>
      <c r="BJ10" s="26">
        <f>Y9</f>
        <v>0</v>
      </c>
      <c r="BK10" s="26">
        <f>AA9</f>
        <v>0</v>
      </c>
      <c r="BL10" s="22" t="s">
        <v>1089</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1099</v>
      </c>
      <c r="AE11" s="1361"/>
      <c r="AF11" s="1616" t="s">
        <v>1099</v>
      </c>
      <c r="AG11" s="1361"/>
      <c r="AH11" s="1616" t="s">
        <v>1100</v>
      </c>
      <c r="AI11" s="1617"/>
      <c r="AJ11" s="1616" t="s">
        <v>1100</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t="str">
        <f>K10</f>
        <v>办公</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6" t="s">
        <v>1102</v>
      </c>
      <c r="W12" s="8" t="s">
        <v>1101</v>
      </c>
      <c r="X12" s="8" t="s">
        <v>1102</v>
      </c>
      <c r="Y12" s="8" t="s">
        <v>1101</v>
      </c>
      <c r="Z12" s="8" t="s">
        <v>1102</v>
      </c>
      <c r="AA12" s="8" t="s">
        <v>1101</v>
      </c>
      <c r="AB12" s="8" t="s">
        <v>1102</v>
      </c>
      <c r="AC12" s="1621"/>
      <c r="AD12" s="1349"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9" t="s">
        <v>1102</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3537</v>
      </c>
      <c r="E13" s="13">
        <f>IF($C$3="是",ROUND($A$3*G13/$B$3,2),ROUND($A$3*(G13-AT13)/$B$3,2))</f>
        <v>0</v>
      </c>
      <c r="F13" s="29"/>
      <c r="G13" s="30">
        <f>H13+AC13+AT13</f>
        <v>18448.600000000002</v>
      </c>
      <c r="H13" s="17">
        <f>SUMIF(I$12:AB$12,"总值",I13:AB13)</f>
        <v>18448.600000000002</v>
      </c>
      <c r="I13" s="1626">
        <f>最新抵押物清单!E7</f>
        <v>1168.2</v>
      </c>
      <c r="J13" s="1626"/>
      <c r="K13" s="1626">
        <f>最新抵押物清单!E3+最新抵押物清单!E4+最新抵押物清单!E5+最新抵押物清单!E6+最新抵押物清单!E8+最新抵押物清单!E9+最新抵押物清单!E10+最新抵押物清单!E11</f>
        <v>17280.400000000001</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18448.600000000002</v>
      </c>
      <c r="BA13" s="13">
        <f>SUM(BB13:BK13)</f>
        <v>18448.600000000002</v>
      </c>
      <c r="BB13" s="13">
        <f>IF($D13="是",I13-J13,0)</f>
        <v>1168.2</v>
      </c>
      <c r="BC13" s="13">
        <f>IF($D13="是",K13-L13,0)</f>
        <v>17280.400000000001</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19" sqref="F19: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1128</v>
      </c>
      <c r="B1" s="1139"/>
      <c r="C1" s="1139"/>
      <c r="D1" s="1139"/>
      <c r="E1" s="1139"/>
      <c r="F1" s="1139"/>
      <c r="G1" s="1139"/>
      <c r="H1" s="1139"/>
      <c r="I1" s="1139"/>
      <c r="J1" s="1139"/>
      <c r="K1" s="1139"/>
      <c r="L1" s="1139"/>
      <c r="M1" s="1139"/>
      <c r="N1" s="1139"/>
      <c r="O1" s="1139"/>
      <c r="P1" s="1139"/>
    </row>
    <row r="2" spans="1:16" ht="15">
      <c r="A2" s="3748" t="s">
        <v>1129</v>
      </c>
      <c r="B2" s="3748"/>
      <c r="C2" s="3748"/>
      <c r="D2" s="796" t="s">
        <v>1105</v>
      </c>
      <c r="E2" s="1639" t="s">
        <v>1106</v>
      </c>
      <c r="F2" s="2659"/>
      <c r="G2" s="2650"/>
      <c r="H2" s="2651"/>
      <c r="I2" s="2325" t="s">
        <v>1130</v>
      </c>
      <c r="J2" s="2659"/>
      <c r="K2" s="2659"/>
      <c r="L2" s="2659"/>
      <c r="M2" s="2659"/>
      <c r="N2" s="2661"/>
      <c r="O2" s="2659"/>
      <c r="P2" s="2659"/>
    </row>
    <row r="3" spans="1:16" ht="15.75" thickBot="1">
      <c r="A3" s="3749" t="s">
        <v>1103</v>
      </c>
      <c r="B3" s="3749"/>
      <c r="C3" s="3749"/>
      <c r="D3" s="43">
        <f>'数据-基础表'!AY6</f>
        <v>0</v>
      </c>
      <c r="E3" s="43">
        <f>'数据-基础表'!AZ5</f>
        <v>18448.600000000002</v>
      </c>
      <c r="F3" s="2659"/>
      <c r="G3" s="1145"/>
      <c r="H3" s="1026" t="s">
        <v>1104</v>
      </c>
      <c r="I3" s="855" t="e">
        <f>ROUND('数据-基础表'!B3/'数据-基础表'!A3,2)</f>
        <v>#DIV/0!</v>
      </c>
      <c r="J3" s="2659"/>
      <c r="K3" s="2659"/>
      <c r="L3" s="2659"/>
      <c r="M3" s="2659"/>
      <c r="N3" s="2661"/>
      <c r="O3" s="2659"/>
      <c r="P3" s="2659"/>
    </row>
    <row r="4" spans="1:16" ht="15">
      <c r="A4" s="3750"/>
      <c r="B4" s="3751"/>
      <c r="C4" s="3752"/>
      <c r="D4" s="1641" t="s">
        <v>1105</v>
      </c>
      <c r="E4" s="1642" t="s">
        <v>1106</v>
      </c>
      <c r="F4" s="2659"/>
      <c r="G4" s="2652" t="s">
        <v>1131</v>
      </c>
      <c r="H4" s="1026" t="s">
        <v>1111</v>
      </c>
      <c r="I4" s="855" t="e">
        <f>ROUND(SUMIF('数据-基础表'!I9:AS9,"地上",'数据-基础表'!I5:AS5)/'数据-基础表'!A3,2)</f>
        <v>#DIV/0!</v>
      </c>
      <c r="J4" s="2659"/>
      <c r="K4" s="2659"/>
      <c r="L4" s="2659"/>
      <c r="M4" s="2659"/>
      <c r="N4" s="2661"/>
      <c r="O4" s="2659"/>
      <c r="P4" s="2659"/>
    </row>
    <row r="5" spans="1:16">
      <c r="A5" s="44" t="s">
        <v>1107</v>
      </c>
      <c r="B5" s="3753" t="s">
        <v>1108</v>
      </c>
      <c r="C5" s="3753"/>
      <c r="D5" s="45">
        <f>ROUND($D$3*E5/$E$3,2)</f>
        <v>0</v>
      </c>
      <c r="E5" s="46">
        <f>SUMIF('数据-基础表'!$11:$11,"住宅",'数据-基础表'!$5:$5)</f>
        <v>0</v>
      </c>
      <c r="F5" s="2659"/>
      <c r="G5" s="1145"/>
      <c r="H5" s="1026" t="s">
        <v>1104</v>
      </c>
      <c r="I5" s="855" t="e">
        <f>ROUND(E31/D31,2)</f>
        <v>#DIV/0!</v>
      </c>
      <c r="J5" s="2659"/>
      <c r="K5" s="2659"/>
      <c r="L5" s="2659"/>
      <c r="M5" s="2659"/>
      <c r="N5" s="2659"/>
      <c r="O5" s="2659"/>
      <c r="P5" s="2659"/>
    </row>
    <row r="6" spans="1:16" ht="15" thickBot="1">
      <c r="A6" s="1644"/>
      <c r="B6" s="3753" t="s">
        <v>1109</v>
      </c>
      <c r="C6" s="3753"/>
      <c r="D6" s="45">
        <f>ROUND($D$3*E6/$E$3,2)</f>
        <v>0</v>
      </c>
      <c r="E6" s="46">
        <f>E3-E5</f>
        <v>18448.600000000002</v>
      </c>
      <c r="F6" s="2659"/>
      <c r="G6" s="2653" t="s">
        <v>1110</v>
      </c>
      <c r="H6" s="1146" t="s">
        <v>1111</v>
      </c>
      <c r="I6" s="2654" t="e">
        <f>ROUND(F31/D31,2)</f>
        <v>#DIV/0!</v>
      </c>
      <c r="J6" s="2659"/>
      <c r="K6" s="2659"/>
      <c r="L6" s="2659"/>
      <c r="M6" s="2659"/>
      <c r="N6" s="2659"/>
      <c r="O6" s="2659"/>
      <c r="P6" s="2659"/>
    </row>
    <row r="7" spans="1:16" ht="15.75" thickBot="1">
      <c r="A7" s="3745"/>
      <c r="B7" s="3746"/>
      <c r="C7" s="3747"/>
      <c r="D7" s="1641" t="s">
        <v>1105</v>
      </c>
      <c r="E7" s="1645" t="s">
        <v>1112</v>
      </c>
      <c r="F7" s="2659"/>
      <c r="G7" s="2655" t="s">
        <v>1113</v>
      </c>
      <c r="H7" s="2656"/>
      <c r="I7" s="2657">
        <v>3.5</v>
      </c>
      <c r="J7" s="2659"/>
      <c r="K7" s="2659"/>
      <c r="L7" s="2659"/>
      <c r="M7" s="2659"/>
      <c r="N7" s="2659"/>
      <c r="O7" s="2659"/>
      <c r="P7" s="2659"/>
    </row>
    <row r="8" spans="1:16">
      <c r="A8" s="44" t="s">
        <v>1114</v>
      </c>
      <c r="B8" s="47" t="s">
        <v>1115</v>
      </c>
      <c r="C8" s="45" t="s">
        <v>1116</v>
      </c>
      <c r="D8" s="45">
        <f t="shared" ref="D8:D15" si="0">ROUND($D$3*E8/$E$3,2)</f>
        <v>0</v>
      </c>
      <c r="E8" s="48">
        <f>SUMIF('数据-基础表'!BB10:BK10,"地上",'数据-基础表'!BB5:BK5)</f>
        <v>18448.600000000002</v>
      </c>
      <c r="F8" s="2659"/>
      <c r="G8" s="2660"/>
      <c r="H8" s="2660"/>
      <c r="I8" s="2659"/>
      <c r="J8" s="2659"/>
      <c r="K8" s="2659"/>
      <c r="L8" s="2659"/>
      <c r="M8" s="2659"/>
      <c r="N8" s="2659"/>
      <c r="O8" s="2659"/>
      <c r="P8" s="2659"/>
    </row>
    <row r="9" spans="1:16">
      <c r="A9" s="1646"/>
      <c r="B9" s="1647"/>
      <c r="C9" s="45" t="s">
        <v>1117</v>
      </c>
      <c r="D9" s="45">
        <f t="shared" si="0"/>
        <v>0</v>
      </c>
      <c r="E9" s="49">
        <v>0</v>
      </c>
      <c r="F9" s="2659"/>
      <c r="G9" s="2660"/>
      <c r="H9" s="2660"/>
      <c r="I9" s="2659"/>
      <c r="J9" s="2659"/>
      <c r="K9" s="2659"/>
      <c r="L9" s="2659"/>
      <c r="M9" s="2659"/>
      <c r="N9" s="2659"/>
      <c r="O9" s="2659"/>
      <c r="P9" s="2659"/>
    </row>
    <row r="10" spans="1:16">
      <c r="A10" s="1646"/>
      <c r="B10" s="1647"/>
      <c r="C10" s="45" t="s">
        <v>1126</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1118</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1119</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1120</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1132</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1127</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1121</v>
      </c>
      <c r="D16" s="47">
        <f>SUM(D8:D15)</f>
        <v>0</v>
      </c>
      <c r="E16" s="50">
        <f>SUM(E8:E15)</f>
        <v>18448.600000000002</v>
      </c>
      <c r="F16" s="2659"/>
      <c r="G16" s="2660"/>
      <c r="H16" s="1648" t="s">
        <v>1133</v>
      </c>
      <c r="I16" s="1649"/>
      <c r="J16" s="1139"/>
      <c r="K16" s="3742" t="s">
        <v>1133</v>
      </c>
      <c r="L16" s="3743"/>
      <c r="M16" s="3743"/>
      <c r="N16" s="3743"/>
      <c r="O16" s="3743"/>
      <c r="P16" s="3744"/>
    </row>
    <row r="17" spans="1:19" ht="15">
      <c r="A17" s="1650" t="s">
        <v>1134</v>
      </c>
      <c r="B17" s="1651" t="s">
        <v>1135</v>
      </c>
      <c r="C17" s="1652" t="s">
        <v>1136</v>
      </c>
      <c r="D17" s="1653" t="s">
        <v>1124</v>
      </c>
      <c r="E17" s="1654" t="s">
        <v>1125</v>
      </c>
      <c r="F17" s="1655"/>
      <c r="G17" s="1656"/>
      <c r="H17" s="1657" t="s">
        <v>1137</v>
      </c>
      <c r="I17" s="1658" t="s">
        <v>1122</v>
      </c>
      <c r="J17" s="1139"/>
      <c r="K17" s="3739" t="s">
        <v>1138</v>
      </c>
      <c r="L17" s="3740"/>
      <c r="M17" s="3741"/>
      <c r="N17" s="3739" t="s">
        <v>1139</v>
      </c>
      <c r="O17" s="3740"/>
      <c r="P17" s="3741"/>
      <c r="R17" s="1640" t="s">
        <v>1140</v>
      </c>
      <c r="S17" s="56"/>
    </row>
    <row r="18" spans="1:19" ht="15">
      <c r="A18" s="1646"/>
      <c r="B18" s="1659"/>
      <c r="C18" s="1660"/>
      <c r="D18" s="1661"/>
      <c r="E18" s="1662" t="s">
        <v>1141</v>
      </c>
      <c r="F18" s="1663" t="s">
        <v>1142</v>
      </c>
      <c r="G18" s="1664" t="s">
        <v>1143</v>
      </c>
      <c r="H18" s="1041" t="s">
        <v>1144</v>
      </c>
      <c r="I18" s="1665" t="s">
        <v>1145</v>
      </c>
      <c r="J18" s="1139"/>
      <c r="K18" s="1041" t="s">
        <v>1146</v>
      </c>
      <c r="L18" s="1666" t="s">
        <v>1147</v>
      </c>
      <c r="M18" s="855" t="s">
        <v>1148</v>
      </c>
      <c r="N18" s="1041" t="s">
        <v>1146</v>
      </c>
      <c r="O18" s="1666" t="s">
        <v>1147</v>
      </c>
      <c r="P18" s="855" t="s">
        <v>1148</v>
      </c>
      <c r="R18" s="1026" t="s">
        <v>1149</v>
      </c>
      <c r="S18" s="1026" t="s">
        <v>1150</v>
      </c>
    </row>
    <row r="19" spans="1:19">
      <c r="A19" s="1667"/>
      <c r="B19" s="47" t="s">
        <v>1123</v>
      </c>
      <c r="C19" s="3417" t="s">
        <v>3644</v>
      </c>
      <c r="D19" s="45">
        <f>ROUND($D$3*E19/$E$3,2)</f>
        <v>0</v>
      </c>
      <c r="E19" s="53">
        <f t="shared" ref="E19:E26" si="1">SUM(F19:G19)</f>
        <v>1168.2</v>
      </c>
      <c r="F19" s="2795">
        <f>'数据-基础表'!I13</f>
        <v>1168.2</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1168.2</v>
      </c>
    </row>
    <row r="20" spans="1:19">
      <c r="A20" s="1670"/>
      <c r="B20" s="47" t="s">
        <v>1151</v>
      </c>
      <c r="C20" s="3417" t="s">
        <v>3646</v>
      </c>
      <c r="D20" s="45">
        <f t="shared" ref="D20:D26" si="6">ROUND($D$3*E20/$E$3,2)</f>
        <v>0</v>
      </c>
      <c r="E20" s="53">
        <f t="shared" si="1"/>
        <v>17280.400000000001</v>
      </c>
      <c r="F20" s="2795">
        <f>'数据-基础表'!K13</f>
        <v>17280.400000000001</v>
      </c>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17280.400000000001</v>
      </c>
    </row>
    <row r="21" spans="1:19">
      <c r="A21" s="1670"/>
      <c r="B21" s="47" t="s">
        <v>1151</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1151</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1151</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1151</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1151</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1151</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1152</v>
      </c>
      <c r="D27" s="1140">
        <f>SUM(D19:D26)</f>
        <v>0</v>
      </c>
      <c r="E27" s="1141">
        <f>IF(SUM(E19:E26)='数据-基础表'!BA5,SUM(E19:E26),IF(F27="地上面积有误","面积有误","地下面积有误"))</f>
        <v>18448.600000000002</v>
      </c>
      <c r="F27" s="1140">
        <f>IF(SUM(F19:F26)=E8,SUM(F19:F26),"地上面积有误")</f>
        <v>18448.600000000002</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18448.600000000002</v>
      </c>
    </row>
    <row r="28" spans="1:19">
      <c r="A28" s="1670"/>
      <c r="B28" s="47" t="s">
        <v>1153</v>
      </c>
      <c r="C28" s="1038" t="s">
        <v>1154</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1153</v>
      </c>
      <c r="C29" s="1674" t="s">
        <v>1155</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1152</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1156</v>
      </c>
      <c r="D31" s="676">
        <f>D27+D30</f>
        <v>0</v>
      </c>
      <c r="E31" s="676">
        <f>E27+E30</f>
        <v>18448.600000000002</v>
      </c>
      <c r="F31" s="677">
        <f>F27+F30</f>
        <v>18448.600000000002</v>
      </c>
      <c r="G31" s="678">
        <f>G27+G30</f>
        <v>0</v>
      </c>
      <c r="H31" s="2659"/>
      <c r="I31" s="2659"/>
      <c r="J31" s="2659"/>
      <c r="K31" s="2659"/>
      <c r="L31" s="2659"/>
      <c r="M31" s="2659"/>
      <c r="N31" s="2659"/>
      <c r="O31" s="2659"/>
      <c r="P31" s="2659"/>
    </row>
    <row r="32" spans="1:19">
      <c r="A32" s="1643"/>
      <c r="B32" s="1643" t="s">
        <v>1157</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25" priority="1" stopIfTrue="1" operator="containsText" text="面积有误">
      <formula>NOT(ISERROR(SEARCH("面积有误",E27)))</formula>
    </cfRule>
    <cfRule type="cellIs" dxfId="224" priority="3" stopIfTrue="1" operator="equal">
      <formula>"地下面积有误"</formula>
    </cfRule>
  </conditionalFormatting>
  <conditionalFormatting sqref="F27">
    <cfRule type="cellIs" dxfId="22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I6" activePane="bottomRight" state="frozen"/>
      <selection activeCell="C50" sqref="C50"/>
      <selection pane="topRight" activeCell="C50" sqref="C50"/>
      <selection pane="bottomLeft" activeCell="C50" sqref="C50"/>
      <selection pane="bottomRight" activeCell="Q6" sqref="Q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1158</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1159</v>
      </c>
      <c r="B2" s="1045">
        <f>项目基本情况!D3</f>
        <v>45400</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1160</v>
      </c>
      <c r="B4" s="1688"/>
      <c r="C4" s="1689"/>
      <c r="D4" s="1690"/>
      <c r="E4" s="1689" t="s">
        <v>1161</v>
      </c>
      <c r="F4" s="1689"/>
      <c r="G4" s="1689"/>
      <c r="H4" s="1689"/>
      <c r="I4" s="1689"/>
      <c r="J4" s="1691"/>
      <c r="K4" s="1692"/>
      <c r="L4" s="1693"/>
      <c r="M4" s="1689"/>
      <c r="N4" s="1689" t="s">
        <v>1162</v>
      </c>
      <c r="O4" s="1689"/>
      <c r="P4" s="1689"/>
      <c r="Q4" s="1689"/>
      <c r="R4" s="1689"/>
      <c r="S4" s="1691"/>
      <c r="T4" s="2658" t="str">
        <f>'数据-汇总表'!I17</f>
        <v>按面积比例</v>
      </c>
      <c r="U4" s="1688" t="s">
        <v>1163</v>
      </c>
      <c r="V4" s="1689"/>
      <c r="W4" s="1689"/>
      <c r="X4" s="1689"/>
      <c r="Y4" s="1691"/>
      <c r="Z4" s="1652" t="s">
        <v>1164</v>
      </c>
      <c r="AA4" s="1652"/>
      <c r="AB4" s="1652"/>
      <c r="AC4" s="1652"/>
      <c r="AD4" s="1652"/>
      <c r="AE4" s="1650" t="s">
        <v>1165</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1166</v>
      </c>
      <c r="B5" s="1696" t="s">
        <v>1167</v>
      </c>
      <c r="C5" s="1697" t="s">
        <v>1168</v>
      </c>
      <c r="D5" s="1698" t="s">
        <v>1169</v>
      </c>
      <c r="E5" s="1047" t="s">
        <v>1170</v>
      </c>
      <c r="F5" s="1699" t="s">
        <v>1171</v>
      </c>
      <c r="G5" s="1047" t="s">
        <v>1172</v>
      </c>
      <c r="H5" s="1047" t="s">
        <v>1173</v>
      </c>
      <c r="I5" s="1047" t="s">
        <v>1174</v>
      </c>
      <c r="J5" s="1700" t="s">
        <v>1175</v>
      </c>
      <c r="K5" s="1701" t="s">
        <v>1176</v>
      </c>
      <c r="L5" s="1702" t="s">
        <v>1177</v>
      </c>
      <c r="M5" s="1703" t="s">
        <v>1178</v>
      </c>
      <c r="N5" s="1704" t="s">
        <v>3542</v>
      </c>
      <c r="O5" s="1702" t="s">
        <v>1179</v>
      </c>
      <c r="P5" s="1705" t="s">
        <v>1180</v>
      </c>
      <c r="Q5" s="61" t="s">
        <v>1181</v>
      </c>
      <c r="R5" s="1706" t="s">
        <v>1182</v>
      </c>
      <c r="S5" s="1707" t="s">
        <v>1183</v>
      </c>
      <c r="T5" s="1708" t="s">
        <v>1184</v>
      </c>
      <c r="U5" s="1046" t="s">
        <v>1185</v>
      </c>
      <c r="V5" s="1047" t="s">
        <v>1186</v>
      </c>
      <c r="W5" s="1047" t="s">
        <v>1187</v>
      </c>
      <c r="X5" s="63"/>
      <c r="Y5" s="62" t="s">
        <v>1188</v>
      </c>
      <c r="Z5" s="1709" t="s">
        <v>1185</v>
      </c>
      <c r="AA5" s="1047" t="s">
        <v>1186</v>
      </c>
      <c r="AB5" s="1047" t="s">
        <v>1187</v>
      </c>
      <c r="AC5" s="63"/>
      <c r="AD5" s="63" t="s">
        <v>1188</v>
      </c>
      <c r="AE5" s="1046" t="s">
        <v>1189</v>
      </c>
      <c r="AF5" s="1047" t="s">
        <v>1190</v>
      </c>
      <c r="AG5" s="62" t="s">
        <v>1191</v>
      </c>
      <c r="AH5" s="1046" t="s">
        <v>1192</v>
      </c>
      <c r="AI5" s="1709" t="s">
        <v>1193</v>
      </c>
      <c r="AJ5" s="1709" t="s">
        <v>1194</v>
      </c>
      <c r="AK5" s="1047" t="s">
        <v>1195</v>
      </c>
      <c r="AL5" s="1047" t="s">
        <v>1196</v>
      </c>
      <c r="AM5" s="62" t="s">
        <v>1197</v>
      </c>
      <c r="AN5" s="1710" t="s">
        <v>1198</v>
      </c>
      <c r="AO5" s="1562" t="s">
        <v>1199</v>
      </c>
      <c r="AP5" s="1028" t="s">
        <v>1200</v>
      </c>
      <c r="AQ5" s="1711" t="s">
        <v>1201</v>
      </c>
      <c r="AR5" s="1711" t="s">
        <v>1202</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办公出让</v>
      </c>
      <c r="B6" s="1713" t="str">
        <f>IF(A6=0,"","经营性")</f>
        <v>经营性</v>
      </c>
      <c r="C6" s="1714" t="s">
        <v>21</v>
      </c>
      <c r="D6" s="858">
        <f>SUMIF(项目基本情况!C$12:I$12,C6,项目基本情况!C$14:I$14)</f>
        <v>50</v>
      </c>
      <c r="E6" s="857">
        <f>IF(B6="","",SUMIF(项目基本情况!C$12:I$12,C6,项目基本情况!C$13:I$13))</f>
        <v>56665</v>
      </c>
      <c r="F6" s="64">
        <f>SUMIF(项目基本情况!C$12:I$12,C6,项目基本情况!C$15:I$15)</f>
        <v>30.86</v>
      </c>
      <c r="G6" s="65">
        <f>IF(ISERROR(ROUND(POWER(1+H6,D6-F6)*(POWER(1+H6,F6)-1)/(POWER(1+H6,D6)-1),3)),0,ROUND(POWER(1+H6,D6-F6)*(POWER(1+H6,F6)-1)/(POWER(1+H6,D6)-1),3))</f>
        <v>0.85199999999999998</v>
      </c>
      <c r="H6" s="732">
        <v>0.05</v>
      </c>
      <c r="I6" s="732">
        <v>5.5E-2</v>
      </c>
      <c r="J6" s="66">
        <v>7.0000000000000007E-2</v>
      </c>
      <c r="K6" s="1030">
        <f>SUMIF('数据-汇总表'!C$19:C$33,A6,'数据-汇总表'!E$19:E$33)</f>
        <v>1168.2</v>
      </c>
      <c r="L6" s="733">
        <v>5000</v>
      </c>
      <c r="M6" s="67">
        <f t="shared" ref="M6:M14" si="0">ROUND(K6*L6/10000,0)</f>
        <v>584</v>
      </c>
      <c r="N6" s="731">
        <f>N20</f>
        <v>0.65</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7</v>
      </c>
      <c r="V6" s="70">
        <v>0</v>
      </c>
      <c r="W6" s="70">
        <v>0.1</v>
      </c>
      <c r="X6" s="1040"/>
      <c r="Y6" s="71">
        <f>N6</f>
        <v>0.65</v>
      </c>
      <c r="Z6" s="72"/>
      <c r="AA6" s="66"/>
      <c r="AB6" s="66"/>
      <c r="AC6" s="1040"/>
      <c r="AD6" s="73"/>
      <c r="AE6" s="1041">
        <f ca="1">IF(AN6="",0,SUMIF(INDIRECT("'"&amp;AN6&amp;"'"&amp;"!E:E"),$AE$5,INDIRECT("'"&amp;AN6&amp;"'"&amp;"!F:F")))</f>
        <v>30.86</v>
      </c>
      <c r="AF6" s="1348"/>
      <c r="AG6" s="138">
        <f>IF(AF6="",0,AE6-AF6)</f>
        <v>0</v>
      </c>
      <c r="AH6" s="74"/>
      <c r="AI6" s="76">
        <v>365</v>
      </c>
      <c r="AJ6" s="77"/>
      <c r="AK6" s="78">
        <v>5.0000000000000001E-3</v>
      </c>
      <c r="AL6" s="79">
        <v>1E-3</v>
      </c>
      <c r="AM6" s="80">
        <v>0.01</v>
      </c>
      <c r="AN6" s="1715" t="s">
        <v>3543</v>
      </c>
      <c r="AO6" s="52">
        <f ca="1">SUMIF(INDIRECT("'"&amp;AN6&amp;"'"&amp;"!A:A"),"总价",INDIRECT("'"&amp;AN6&amp;"'"&amp;"!B:B"))</f>
        <v>3211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办公划拨</v>
      </c>
      <c r="B7" s="1713" t="str">
        <f t="shared" ref="B7:B13" si="1">IF(A7=0,"","经营性")</f>
        <v>经营性</v>
      </c>
      <c r="C7" s="1714" t="s">
        <v>671</v>
      </c>
      <c r="D7" s="858">
        <f>SUMIF(项目基本情况!C$12:I$12,C7,项目基本情况!C$14:I$14)</f>
        <v>50</v>
      </c>
      <c r="E7" s="857">
        <f>IF(B7="","",SUMIF(项目基本情况!C$12:I$12,C7,项目基本情况!C$13:I$13))</f>
        <v>63659</v>
      </c>
      <c r="F7" s="64">
        <f>SUMIF(项目基本情况!C$12:I$12,C7,项目基本情况!C$15:I$15)</f>
        <v>50</v>
      </c>
      <c r="G7" s="65">
        <f t="shared" ref="G7:G11" si="2">IF(ISERROR(ROUND(POWER(1+H7,D7-F7)*(POWER(1+H7,F7)-1)/(POWER(1+H7,D7)-1),3)),0,ROUND(POWER(1+H7,D7-F7)*(POWER(1+H7,F7)-1)/(POWER(1+H7,D7)-1),3))</f>
        <v>1</v>
      </c>
      <c r="H7" s="732">
        <f>H6</f>
        <v>0.05</v>
      </c>
      <c r="I7" s="732">
        <f>I6</f>
        <v>5.5E-2</v>
      </c>
      <c r="J7" s="66">
        <f>J6</f>
        <v>7.0000000000000007E-2</v>
      </c>
      <c r="K7" s="1030">
        <f>SUMIF('数据-汇总表'!C$19:C$33,A7,'数据-汇总表'!E$19:E$33)</f>
        <v>17280.400000000001</v>
      </c>
      <c r="L7" s="733">
        <f>L6</f>
        <v>5000</v>
      </c>
      <c r="M7" s="67">
        <f t="shared" si="0"/>
        <v>8640</v>
      </c>
      <c r="N7" s="731">
        <f>N6</f>
        <v>0.65</v>
      </c>
      <c r="O7" s="67" t="str">
        <f t="shared" ref="O7:O14" si="3">IF($N$5="成新度","——",ROUND(M7*N7,0))</f>
        <v>——</v>
      </c>
      <c r="P7" s="68" t="str">
        <f t="shared" ref="P7:P14" si="4">IF($N$5="成新度","——",M7-O7)</f>
        <v>——</v>
      </c>
      <c r="Q7" s="734">
        <f>Q6</f>
        <v>0.15</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v>7</v>
      </c>
      <c r="V7" s="70">
        <f>V6</f>
        <v>0</v>
      </c>
      <c r="W7" s="70">
        <v>0.1</v>
      </c>
      <c r="X7" s="1040"/>
      <c r="Y7" s="71">
        <f>N7</f>
        <v>0.65</v>
      </c>
      <c r="Z7" s="72"/>
      <c r="AA7" s="66"/>
      <c r="AB7" s="66"/>
      <c r="AC7" s="1040"/>
      <c r="AD7" s="73"/>
      <c r="AE7" s="3582">
        <v>50</v>
      </c>
      <c r="AF7" s="1348"/>
      <c r="AG7" s="138">
        <f t="shared" ref="AG7:AG13" si="6">IF(AF7="",0,AE7-AF7)</f>
        <v>0</v>
      </c>
      <c r="AH7" s="74"/>
      <c r="AI7" s="76">
        <v>365</v>
      </c>
      <c r="AJ7" s="77"/>
      <c r="AK7" s="78">
        <f>AK6</f>
        <v>5.0000000000000001E-3</v>
      </c>
      <c r="AL7" s="79">
        <f>AL6</f>
        <v>1E-3</v>
      </c>
      <c r="AM7" s="80">
        <f>AM6</f>
        <v>0.01</v>
      </c>
      <c r="AN7" s="1715" t="s">
        <v>3655</v>
      </c>
      <c r="AO7" s="52">
        <f t="shared" ref="AO7:AO13" ca="1" si="7">SUMIF(INDIRECT("'"&amp;AN7&amp;"'"&amp;"!A:A"),"总价",INDIRECT("'"&amp;AN7&amp;"'"&amp;"!B:B"))</f>
        <v>63991</v>
      </c>
      <c r="AP7" s="1716">
        <f t="shared" ref="AP7:AP13" si="8">IF(C7="住宅",K7*L7,0)</f>
        <v>0</v>
      </c>
      <c r="AQ7" s="52">
        <f t="shared" ref="AQ7:AQ13" si="9">ROUND($L$14*$N$14*S7/10000,0)</f>
        <v>0</v>
      </c>
      <c r="AR7" s="52">
        <f t="shared" ref="AR7:AR13" si="10">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ref="AE8:AE13" ca="1" si="11">IF(AN8="",0,SUMIF(INDIRECT("'"&amp;AN8&amp;"'"&amp;"!E:E"),$AE$5,INDIRECT("'"&amp;AN8&amp;"'"&amp;"!F:F")))</f>
        <v>0</v>
      </c>
      <c r="AF8" s="1348"/>
      <c r="AG8" s="138">
        <f t="shared" si="6"/>
        <v>0</v>
      </c>
      <c r="AH8" s="736"/>
      <c r="AI8" s="76"/>
      <c r="AJ8" s="77"/>
      <c r="AK8" s="737"/>
      <c r="AL8" s="738"/>
      <c r="AM8" s="739"/>
      <c r="AN8" s="1715"/>
      <c r="AO8" s="52" t="e">
        <f t="shared" ca="1" si="7"/>
        <v>#REF!</v>
      </c>
      <c r="AP8" s="1716">
        <f t="shared" si="8"/>
        <v>0</v>
      </c>
      <c r="AQ8" s="52">
        <f t="shared" si="9"/>
        <v>0</v>
      </c>
      <c r="AR8" s="52">
        <f t="shared" si="10"/>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11"/>
        <v>0</v>
      </c>
      <c r="AF9" s="1348"/>
      <c r="AG9" s="138">
        <f t="shared" si="6"/>
        <v>0</v>
      </c>
      <c r="AH9" s="74"/>
      <c r="AI9" s="76"/>
      <c r="AJ9" s="77"/>
      <c r="AK9" s="78"/>
      <c r="AL9" s="79"/>
      <c r="AM9" s="80"/>
      <c r="AN9" s="1715"/>
      <c r="AO9" s="52" t="e">
        <f t="shared" ca="1" si="7"/>
        <v>#REF!</v>
      </c>
      <c r="AP9" s="1716">
        <f t="shared" si="8"/>
        <v>0</v>
      </c>
      <c r="AQ9" s="52">
        <f t="shared" si="9"/>
        <v>0</v>
      </c>
      <c r="AR9" s="52">
        <f t="shared" si="10"/>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11"/>
        <v>0</v>
      </c>
      <c r="AF10" s="1348"/>
      <c r="AG10" s="138">
        <f t="shared" si="6"/>
        <v>0</v>
      </c>
      <c r="AH10" s="74"/>
      <c r="AI10" s="76"/>
      <c r="AJ10" s="77"/>
      <c r="AK10" s="78"/>
      <c r="AL10" s="79"/>
      <c r="AM10" s="80"/>
      <c r="AN10" s="1715"/>
      <c r="AO10" s="52" t="e">
        <f t="shared" ca="1" si="7"/>
        <v>#REF!</v>
      </c>
      <c r="AP10" s="1716">
        <f t="shared" si="8"/>
        <v>0</v>
      </c>
      <c r="AQ10" s="52">
        <f t="shared" si="9"/>
        <v>0</v>
      </c>
      <c r="AR10" s="52">
        <f t="shared" si="10"/>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11"/>
        <v>0</v>
      </c>
      <c r="AF11" s="1348"/>
      <c r="AG11" s="138">
        <f t="shared" si="6"/>
        <v>0</v>
      </c>
      <c r="AH11" s="74"/>
      <c r="AI11" s="76"/>
      <c r="AJ11" s="77"/>
      <c r="AK11" s="85"/>
      <c r="AL11" s="86"/>
      <c r="AM11" s="87"/>
      <c r="AN11" s="1715"/>
      <c r="AO11" s="52" t="e">
        <f t="shared" ca="1" si="7"/>
        <v>#REF!</v>
      </c>
      <c r="AP11" s="1716">
        <f t="shared" si="8"/>
        <v>0</v>
      </c>
      <c r="AQ11" s="52">
        <f t="shared" si="9"/>
        <v>0</v>
      </c>
      <c r="AR11" s="52">
        <f t="shared" si="10"/>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11"/>
        <v>0</v>
      </c>
      <c r="AF12" s="1348"/>
      <c r="AG12" s="138">
        <f t="shared" si="6"/>
        <v>0</v>
      </c>
      <c r="AH12" s="74"/>
      <c r="AI12" s="76"/>
      <c r="AJ12" s="77"/>
      <c r="AK12" s="85"/>
      <c r="AL12" s="86"/>
      <c r="AM12" s="87"/>
      <c r="AN12" s="1715"/>
      <c r="AO12" s="52" t="e">
        <f t="shared" ca="1" si="7"/>
        <v>#REF!</v>
      </c>
      <c r="AP12" s="1716">
        <f t="shared" si="8"/>
        <v>0</v>
      </c>
      <c r="AQ12" s="52">
        <f t="shared" si="9"/>
        <v>0</v>
      </c>
      <c r="AR12" s="52">
        <f t="shared" si="10"/>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11"/>
        <v>0</v>
      </c>
      <c r="AF13" s="1348"/>
      <c r="AG13" s="138">
        <f t="shared" si="6"/>
        <v>0</v>
      </c>
      <c r="AH13" s="74"/>
      <c r="AI13" s="76"/>
      <c r="AJ13" s="77"/>
      <c r="AK13" s="78"/>
      <c r="AL13" s="79"/>
      <c r="AM13" s="80"/>
      <c r="AN13" s="1715"/>
      <c r="AO13" s="52" t="e">
        <f t="shared" ca="1" si="7"/>
        <v>#REF!</v>
      </c>
      <c r="AP13" s="1716">
        <f t="shared" si="8"/>
        <v>0</v>
      </c>
      <c r="AQ13" s="52">
        <f t="shared" si="9"/>
        <v>0</v>
      </c>
      <c r="AR13" s="52">
        <f t="shared" si="10"/>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1203</v>
      </c>
      <c r="B14" s="1713" t="s">
        <v>1204</v>
      </c>
      <c r="C14" s="1718"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1205</v>
      </c>
      <c r="B15" s="1713" t="s">
        <v>1204</v>
      </c>
      <c r="C15" s="1718"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1207</v>
      </c>
      <c r="B16" s="88"/>
      <c r="C16" s="833"/>
      <c r="D16" s="1720"/>
      <c r="E16" s="88"/>
      <c r="F16" s="88"/>
      <c r="G16" s="89">
        <f>ROUND(SUMPRODUCT(G6:G13,K6:K13)/SUMPRODUCT((G6:G13&gt;0)*(K6:K13)),3)</f>
        <v>0.99099999999999999</v>
      </c>
      <c r="H16" s="90">
        <f>ROUND(SUMPRODUCT(H6:H13,K6:K13)/SUMPRODUCT((H6:H13&gt;0)*(K6:K13)),3)</f>
        <v>0.05</v>
      </c>
      <c r="I16" s="91"/>
      <c r="J16" s="91"/>
      <c r="K16" s="92">
        <f>SUM(K6:K15)</f>
        <v>18448.600000000002</v>
      </c>
      <c r="L16" s="93">
        <f>ROUND(M16*10000/SUM(K6:K14),0)</f>
        <v>5000</v>
      </c>
      <c r="M16" s="93">
        <f>SUM(M6:M14)</f>
        <v>9224</v>
      </c>
      <c r="N16" s="94">
        <f>ROUND(SUMPRODUCT(M6:M14,N6:N14)/M16,3)</f>
        <v>0.65</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1208</v>
      </c>
      <c r="B18" s="2685"/>
      <c r="C18" s="2673"/>
      <c r="D18" s="2676"/>
      <c r="E18" s="2673"/>
      <c r="F18" s="2673"/>
      <c r="G18" s="2673"/>
      <c r="H18" s="2673"/>
      <c r="I18" s="2673"/>
      <c r="J18" s="2673"/>
      <c r="K18" s="2672"/>
      <c r="L18" s="2672"/>
      <c r="M18" s="3523" t="s">
        <v>3540</v>
      </c>
      <c r="N18" s="2671">
        <f>ROUND(1-(2024-1995)/60,2)</f>
        <v>0.52</v>
      </c>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1209</v>
      </c>
      <c r="B19" s="103">
        <v>0</v>
      </c>
      <c r="C19" s="2799" t="s">
        <v>2302</v>
      </c>
      <c r="D19" s="2676"/>
      <c r="E19" s="2673"/>
      <c r="F19" s="2673"/>
      <c r="G19" s="2673"/>
      <c r="H19" s="2673"/>
      <c r="I19" s="2673"/>
      <c r="J19" s="2673"/>
      <c r="K19" s="2672"/>
      <c r="L19" s="2672"/>
      <c r="M19" s="3523" t="s">
        <v>3541</v>
      </c>
      <c r="N19" s="2671">
        <v>0.78</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1210</v>
      </c>
      <c r="B20" s="104">
        <v>2</v>
      </c>
      <c r="C20" s="2800" t="s">
        <v>2300</v>
      </c>
      <c r="D20" s="2676"/>
      <c r="E20" s="2673"/>
      <c r="F20" s="2673"/>
      <c r="G20" s="2673"/>
      <c r="H20" s="2673"/>
      <c r="I20" s="2673"/>
      <c r="J20" s="2673"/>
      <c r="K20" s="2672"/>
      <c r="L20" s="2672"/>
      <c r="M20" s="2671"/>
      <c r="N20" s="2671">
        <f>(N18+N19)/2</f>
        <v>0.65</v>
      </c>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1211</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1212</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1213</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1214</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1215</v>
      </c>
      <c r="B26" s="1726" t="s">
        <v>1216</v>
      </c>
      <c r="C26" s="2677" t="s">
        <v>1217</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1218</v>
      </c>
      <c r="B27" s="107"/>
      <c r="C27" s="2801" t="s">
        <v>2304</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1219</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1220</v>
      </c>
      <c r="B29" s="112">
        <f ca="1">成本法!C10</f>
        <v>23</v>
      </c>
      <c r="C29" s="2802" t="s">
        <v>2291</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1221</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1222</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1223</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1224</v>
      </c>
      <c r="B33" s="673">
        <v>0.05</v>
      </c>
      <c r="C33" s="2803" t="s">
        <v>2292</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1225</v>
      </c>
      <c r="B34" s="113">
        <v>0</v>
      </c>
      <c r="C34" s="2803" t="s">
        <v>2293</v>
      </c>
      <c r="D34" s="2684" t="s">
        <v>2301</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1226</v>
      </c>
      <c r="B35" s="110">
        <v>200</v>
      </c>
      <c r="C35" s="2803" t="s">
        <v>2294</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1227</v>
      </c>
      <c r="B36" s="114">
        <v>0.02</v>
      </c>
      <c r="C36" s="2803" t="s">
        <v>2295</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1228</v>
      </c>
      <c r="B37" s="115">
        <v>0.02</v>
      </c>
      <c r="C37" s="2803" t="s">
        <v>2296</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1229</v>
      </c>
      <c r="B38" s="113">
        <v>0.02</v>
      </c>
      <c r="C38" s="2803" t="s">
        <v>2296</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1230</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2311</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1231</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1232</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1233</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1234</v>
      </c>
      <c r="B44" s="119">
        <v>7.0000000000000007E-2</v>
      </c>
      <c r="C44" s="2803" t="s">
        <v>2305</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1235</v>
      </c>
      <c r="B45" s="117">
        <v>0.03</v>
      </c>
      <c r="C45" s="2802" t="s">
        <v>2297</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1236</v>
      </c>
      <c r="B46" s="117">
        <v>0.02</v>
      </c>
      <c r="C46" s="2802" t="s">
        <v>2298</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1237</v>
      </c>
      <c r="B47" s="120">
        <v>0</v>
      </c>
      <c r="C47" s="2805" t="s">
        <v>2306</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1238</v>
      </c>
      <c r="B48" s="121">
        <v>0.03</v>
      </c>
      <c r="C48" s="2802" t="s">
        <v>2297</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1239</v>
      </c>
      <c r="B49" s="117">
        <v>5.0000000000000001E-4</v>
      </c>
      <c r="C49" s="2802" t="s">
        <v>2299</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1240</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1241</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1242</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1243</v>
      </c>
      <c r="B53" s="1738" t="s">
        <v>184</v>
      </c>
      <c r="C53" s="2661" t="s">
        <v>1244</v>
      </c>
      <c r="D53" s="2804" t="s">
        <v>2303</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1245</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1246</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1247</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1248</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1249</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1250</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1251</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1252</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1253</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1254</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754" t="s">
        <v>2283</v>
      </c>
      <c r="B1" s="3755"/>
      <c r="C1" s="3755"/>
      <c r="D1" s="3755"/>
      <c r="E1" s="3755"/>
      <c r="F1" s="3755"/>
      <c r="G1" s="3755"/>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2278</v>
      </c>
      <c r="D2" s="2461"/>
      <c r="E2" s="2458"/>
      <c r="F2" s="2462"/>
      <c r="G2" s="2460" t="s">
        <v>2279</v>
      </c>
      <c r="H2" s="799"/>
      <c r="I2" s="799"/>
      <c r="J2" s="799"/>
      <c r="K2" s="799"/>
      <c r="L2" s="799"/>
      <c r="M2" s="799"/>
      <c r="N2" s="799"/>
      <c r="O2" s="799"/>
      <c r="P2" s="799"/>
      <c r="Q2" s="799"/>
      <c r="R2" s="799"/>
    </row>
    <row r="3" spans="1:29" ht="48">
      <c r="A3" s="2441" t="s">
        <v>2280</v>
      </c>
      <c r="B3" s="2463" t="s">
        <v>2249</v>
      </c>
      <c r="C3" s="2464" t="s">
        <v>2281</v>
      </c>
      <c r="D3" s="2465"/>
      <c r="E3" s="2442" t="s">
        <v>2280</v>
      </c>
      <c r="F3" s="2466" t="s">
        <v>2250</v>
      </c>
      <c r="G3" s="2467" t="s">
        <v>2282</v>
      </c>
      <c r="H3" s="799"/>
      <c r="I3" s="799"/>
      <c r="J3" s="799"/>
      <c r="K3" s="799"/>
      <c r="L3" s="799"/>
      <c r="M3" s="799"/>
      <c r="N3" s="799"/>
      <c r="O3" s="799"/>
      <c r="P3" s="799"/>
      <c r="Q3" s="799"/>
      <c r="R3" s="799"/>
    </row>
    <row r="4" spans="1:29" ht="36.75">
      <c r="A4" s="2442"/>
      <c r="B4" s="323" t="s">
        <v>2251</v>
      </c>
      <c r="C4" s="2468" t="s">
        <v>2252</v>
      </c>
      <c r="D4" s="2465"/>
      <c r="E4" s="2469"/>
      <c r="F4" s="1373" t="s">
        <v>2253</v>
      </c>
      <c r="G4" s="2470" t="s">
        <v>2254</v>
      </c>
      <c r="H4" s="799"/>
      <c r="I4" s="799"/>
      <c r="J4" s="799"/>
      <c r="K4" s="799"/>
      <c r="L4" s="799"/>
      <c r="M4" s="799"/>
      <c r="N4" s="799"/>
      <c r="O4" s="799"/>
      <c r="P4" s="799"/>
      <c r="Q4" s="799"/>
      <c r="R4" s="799"/>
    </row>
    <row r="5" spans="1:29" ht="36.75">
      <c r="A5" s="2442"/>
      <c r="B5" s="323" t="s">
        <v>2255</v>
      </c>
      <c r="C5" s="2468" t="s">
        <v>2256</v>
      </c>
      <c r="D5" s="2465"/>
      <c r="E5" s="2469"/>
      <c r="F5" s="323" t="s">
        <v>2257</v>
      </c>
      <c r="G5" s="2470" t="s">
        <v>2258</v>
      </c>
      <c r="H5" s="799"/>
      <c r="I5" s="799"/>
      <c r="J5" s="799"/>
      <c r="K5" s="799"/>
      <c r="L5" s="799"/>
      <c r="M5" s="799"/>
      <c r="N5" s="799"/>
      <c r="O5" s="799"/>
      <c r="P5" s="799"/>
      <c r="Q5" s="799"/>
      <c r="R5" s="799"/>
    </row>
    <row r="6" spans="1:29" ht="36">
      <c r="A6" s="2442"/>
      <c r="B6" s="323" t="s">
        <v>2259</v>
      </c>
      <c r="C6" s="2470" t="s">
        <v>2254</v>
      </c>
      <c r="D6" s="2465"/>
      <c r="E6" s="2469"/>
      <c r="F6" s="323" t="s">
        <v>2260</v>
      </c>
      <c r="G6" s="2470" t="s">
        <v>2261</v>
      </c>
      <c r="H6" s="799"/>
      <c r="I6" s="799"/>
      <c r="J6" s="799"/>
      <c r="K6" s="799"/>
      <c r="L6" s="799"/>
      <c r="M6" s="799"/>
      <c r="N6" s="799"/>
      <c r="O6" s="799"/>
      <c r="P6" s="799"/>
      <c r="Q6" s="799"/>
      <c r="R6" s="799"/>
    </row>
    <row r="7" spans="1:29" ht="24.75" thickBot="1">
      <c r="A7" s="2442"/>
      <c r="B7" s="323" t="s">
        <v>2257</v>
      </c>
      <c r="C7" s="2470" t="s">
        <v>2258</v>
      </c>
      <c r="D7" s="2471"/>
      <c r="E7" s="2472"/>
      <c r="F7" s="2473" t="s">
        <v>2262</v>
      </c>
      <c r="G7" s="2474" t="s">
        <v>2263</v>
      </c>
      <c r="H7" s="799"/>
      <c r="I7" s="799"/>
      <c r="J7" s="799"/>
      <c r="K7" s="799"/>
      <c r="L7" s="799"/>
      <c r="M7" s="799"/>
      <c r="N7" s="799"/>
      <c r="O7" s="799"/>
      <c r="P7" s="799"/>
      <c r="Q7" s="799"/>
      <c r="R7" s="799"/>
    </row>
    <row r="8" spans="1:29">
      <c r="A8" s="2442"/>
      <c r="B8" s="323" t="s">
        <v>2260</v>
      </c>
      <c r="C8" s="2470" t="s">
        <v>2261</v>
      </c>
      <c r="D8" s="2471"/>
      <c r="E8" s="2471"/>
      <c r="F8" s="2475"/>
      <c r="G8" s="2475"/>
      <c r="H8" s="799"/>
      <c r="I8" s="799"/>
      <c r="J8" s="799"/>
      <c r="K8" s="799"/>
      <c r="L8" s="799"/>
      <c r="M8" s="799"/>
      <c r="N8" s="799"/>
      <c r="O8" s="799"/>
      <c r="P8" s="799"/>
      <c r="Q8" s="799"/>
      <c r="R8" s="799"/>
    </row>
    <row r="9" spans="1:29" ht="24">
      <c r="A9" s="2442"/>
      <c r="B9" s="323" t="s">
        <v>2264</v>
      </c>
      <c r="C9" s="2468" t="s">
        <v>2265</v>
      </c>
      <c r="D9" s="2465"/>
      <c r="E9" s="2471"/>
      <c r="F9" s="2475"/>
      <c r="G9" s="2475"/>
      <c r="H9" s="799"/>
      <c r="I9" s="799"/>
      <c r="J9" s="799"/>
      <c r="K9" s="799"/>
      <c r="L9" s="799"/>
      <c r="M9" s="799"/>
      <c r="N9" s="799"/>
      <c r="O9" s="799"/>
      <c r="P9" s="799"/>
      <c r="Q9" s="799"/>
      <c r="R9" s="799"/>
    </row>
    <row r="10" spans="1:29" s="2481" customFormat="1" ht="15" thickBot="1">
      <c r="A10" s="2443"/>
      <c r="B10" s="2476" t="s">
        <v>2266</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2284</v>
      </c>
      <c r="B13" s="2484"/>
      <c r="C13" s="2484"/>
      <c r="D13" s="2482"/>
      <c r="E13" s="2484"/>
      <c r="F13" s="2484"/>
      <c r="G13" s="2484"/>
    </row>
    <row r="14" spans="1:29" ht="15" thickBot="1">
      <c r="A14" s="2494"/>
      <c r="B14" s="2494"/>
      <c r="C14" s="2495" t="s">
        <v>2267</v>
      </c>
      <c r="D14" s="2465"/>
      <c r="E14" s="2496"/>
      <c r="F14" s="2496"/>
      <c r="G14" s="2460" t="s">
        <v>2268</v>
      </c>
    </row>
    <row r="15" spans="1:29" ht="51">
      <c r="A15" s="2444" t="s">
        <v>2269</v>
      </c>
      <c r="B15" s="2497" t="s">
        <v>2249</v>
      </c>
      <c r="C15" s="2498" t="str">
        <f>C3</f>
        <v>估价对象周边居住用地比例、居住小区规模和社区发展完善程度，综合评价居住社区成熟度一般</v>
      </c>
      <c r="D15" s="2465"/>
      <c r="E15" s="2445" t="s">
        <v>2270</v>
      </c>
      <c r="F15" s="2497" t="s">
        <v>2271</v>
      </c>
      <c r="G15" s="2499" t="str">
        <f>G3</f>
        <v>估价对象位于XX开发区，园区建设成熟度XX，产业集聚程度XX</v>
      </c>
    </row>
    <row r="16" spans="1:29" ht="38.25">
      <c r="A16" s="2446"/>
      <c r="B16" s="2500" t="s">
        <v>2251</v>
      </c>
      <c r="C16" s="2501" t="str">
        <f>C4</f>
        <v>估价对象位于XX商圈，周边商业氛围成熟，人流量大，商业繁华度好</v>
      </c>
      <c r="D16" s="2465"/>
      <c r="E16" s="2447"/>
      <c r="F16" s="2502" t="s">
        <v>2253</v>
      </c>
      <c r="G16" s="2503" t="str">
        <f>G4</f>
        <v>估价对象周边道路状况、公共交通通达情况、停车便捷程度，综合评价交通便捷度较好</v>
      </c>
    </row>
    <row r="17" spans="1:18" ht="38.25">
      <c r="A17" s="2446"/>
      <c r="B17" s="2500" t="s">
        <v>2255</v>
      </c>
      <c r="C17" s="2501" t="str">
        <f>C5</f>
        <v>估价对象位于XX商圈，周边办公楼项目较多，入驻率高，办公集聚程度较好</v>
      </c>
      <c r="D17" s="2471"/>
      <c r="E17" s="2447"/>
      <c r="F17" s="2502" t="s">
        <v>2272</v>
      </c>
      <c r="G17" s="2504"/>
    </row>
    <row r="18" spans="1:18" ht="38.25">
      <c r="A18" s="2446"/>
      <c r="B18" s="2502" t="s">
        <v>2259</v>
      </c>
      <c r="C18" s="2503" t="str">
        <f>C6</f>
        <v>估价对象周边道路状况、公共交通通达情况、停车便捷程度，综合评价交通便捷度较好</v>
      </c>
      <c r="D18" s="2471"/>
      <c r="E18" s="2447"/>
      <c r="F18" s="2502" t="s">
        <v>2262</v>
      </c>
      <c r="G18" s="2503" t="str">
        <f>G7</f>
        <v>该园区内是否有污染型企业，绿化情况，卫生条件，整体环境状况判断</v>
      </c>
    </row>
    <row r="19" spans="1:18" ht="25.5">
      <c r="A19" s="2446"/>
      <c r="B19" s="2502" t="s">
        <v>2273</v>
      </c>
      <c r="C19" s="2504"/>
      <c r="D19" s="2465"/>
      <c r="E19" s="2447"/>
      <c r="F19" s="323" t="s">
        <v>2257</v>
      </c>
      <c r="G19" s="2503" t="str">
        <f>G5</f>
        <v>估价对象所在区域公共配套设施齐备情况</v>
      </c>
    </row>
    <row r="20" spans="1:18" ht="25.5">
      <c r="A20" s="2446"/>
      <c r="B20" s="2502" t="s">
        <v>2274</v>
      </c>
      <c r="C20" s="2501" t="str">
        <f>C9</f>
        <v>区域自然环境：；人文环境；综合评价环境状况一般</v>
      </c>
      <c r="D20" s="2471"/>
      <c r="E20" s="2447"/>
      <c r="F20" s="323" t="s">
        <v>2260</v>
      </c>
      <c r="G20" s="2503" t="str">
        <f>G6</f>
        <v>估价对象所在区域基础设施水平</v>
      </c>
    </row>
    <row r="21" spans="1:18" ht="25.5">
      <c r="A21" s="2446"/>
      <c r="B21" s="323" t="s">
        <v>2257</v>
      </c>
      <c r="C21" s="2503" t="str">
        <f>C7</f>
        <v>估价对象所在区域公共配套设施齐备情况</v>
      </c>
      <c r="D21" s="2465"/>
      <c r="E21" s="2447"/>
      <c r="F21" s="2502" t="s">
        <v>2275</v>
      </c>
      <c r="G21" s="2505"/>
    </row>
    <row r="22" spans="1:18" ht="13.5" customHeight="1">
      <c r="A22" s="2446"/>
      <c r="B22" s="323" t="s">
        <v>2260</v>
      </c>
      <c r="C22" s="2503" t="str">
        <f>C8</f>
        <v>估价对象所在区域基础设施水平</v>
      </c>
      <c r="D22" s="2465"/>
      <c r="E22" s="2447"/>
      <c r="F22" s="2502" t="s">
        <v>2266</v>
      </c>
      <c r="G22" s="2504"/>
    </row>
    <row r="23" spans="1:18" s="799" customFormat="1" ht="15" thickBot="1">
      <c r="A23" s="2446"/>
      <c r="B23" s="2502" t="s">
        <v>2275</v>
      </c>
      <c r="C23" s="2505"/>
      <c r="D23" s="1741"/>
      <c r="E23" s="2448"/>
      <c r="F23" s="2506" t="s">
        <v>2276</v>
      </c>
      <c r="G23" s="2507"/>
      <c r="H23" s="2491"/>
      <c r="I23" s="2492"/>
      <c r="J23" s="2491"/>
      <c r="K23" s="2491"/>
      <c r="L23" s="2492"/>
      <c r="M23" s="2491"/>
      <c r="N23" s="2491"/>
      <c r="O23" s="2492"/>
      <c r="P23" s="2491"/>
      <c r="Q23" s="2491"/>
      <c r="R23" s="2493"/>
    </row>
    <row r="24" spans="1:18" s="799" customFormat="1" ht="15" thickBot="1">
      <c r="A24" s="2449"/>
      <c r="B24" s="2506" t="s">
        <v>2277</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B5" sqref="B5"/>
    </sheetView>
  </sheetViews>
  <sheetFormatPr defaultColWidth="9" defaultRowHeight="13.5"/>
  <cols>
    <col min="1" max="1" width="25" style="2513" customWidth="1"/>
    <col min="2" max="9" width="15.75" style="2513" customWidth="1"/>
    <col min="10" max="16384" width="9" style="2513"/>
  </cols>
  <sheetData>
    <row r="1" spans="1:11" ht="16.5">
      <c r="A1" s="2512" t="s">
        <v>663</v>
      </c>
      <c r="B1" s="2512">
        <f>SUM(B14:B23)</f>
        <v>18448.600000000002</v>
      </c>
      <c r="C1" s="2686"/>
      <c r="D1" s="2686"/>
      <c r="E1" s="2686"/>
      <c r="F1" s="2686"/>
      <c r="G1" s="2687"/>
      <c r="H1" s="2688"/>
      <c r="I1" s="2688"/>
      <c r="J1" s="2688"/>
      <c r="K1" s="2688"/>
    </row>
    <row r="2" spans="1:11" ht="16.5">
      <c r="A2" s="2512" t="s">
        <v>651</v>
      </c>
      <c r="B2" s="2512">
        <f>SUM(C14:C23)</f>
        <v>0</v>
      </c>
      <c r="C2" s="2686"/>
      <c r="D2" s="2686"/>
      <c r="E2" s="2686"/>
      <c r="F2" s="2686"/>
      <c r="G2" s="2687"/>
      <c r="H2" s="2688"/>
      <c r="I2" s="2688"/>
      <c r="J2" s="2688"/>
      <c r="K2" s="2688"/>
    </row>
    <row r="3" spans="1:11" ht="16.5">
      <c r="A3" s="2512" t="s">
        <v>660</v>
      </c>
      <c r="B3" s="2514">
        <f>项目基本情况!D3</f>
        <v>45400</v>
      </c>
      <c r="C3" s="2686"/>
      <c r="D3" s="2686"/>
      <c r="E3" s="2686"/>
      <c r="F3" s="2686"/>
      <c r="G3" s="2687"/>
      <c r="H3" s="2688"/>
      <c r="I3" s="2688"/>
      <c r="J3" s="2688"/>
      <c r="K3" s="2688"/>
    </row>
    <row r="4" spans="1:11" ht="33">
      <c r="A4" s="2512" t="s">
        <v>659</v>
      </c>
      <c r="B4" s="2512" t="s">
        <v>658</v>
      </c>
      <c r="C4" s="2512" t="s">
        <v>657</v>
      </c>
      <c r="D4" s="2512" t="s">
        <v>656</v>
      </c>
      <c r="E4" s="2686"/>
      <c r="F4" s="2687"/>
      <c r="G4" s="2687"/>
      <c r="H4" s="2688"/>
      <c r="I4" s="2688"/>
      <c r="J4" s="2688"/>
      <c r="K4" s="2688"/>
    </row>
    <row r="5" spans="1:11" ht="16.5">
      <c r="A5" s="2512" t="s">
        <v>655</v>
      </c>
      <c r="B5" s="2512">
        <f ca="1">SUM(D14:D23)</f>
        <v>69338</v>
      </c>
      <c r="C5" s="2512">
        <f ca="1">IF(B5=D14,结果表!H102,ROUND(B5*10000/$B$1,0))</f>
        <v>37584</v>
      </c>
      <c r="D5" s="2512" t="e">
        <f ca="1">ROUND(B5*10000/$B$2,0)</f>
        <v>#DIV/0!</v>
      </c>
      <c r="E5" s="2686"/>
      <c r="F5" s="2687"/>
      <c r="G5" s="2687"/>
      <c r="H5" s="2688"/>
      <c r="I5" s="2688"/>
      <c r="J5" s="2688"/>
      <c r="K5" s="2688"/>
    </row>
    <row r="6" spans="1:11" ht="16.5">
      <c r="A6" s="2512" t="s">
        <v>654</v>
      </c>
      <c r="B6" s="2512">
        <f ca="1">SUM(G14:G23)</f>
        <v>69338</v>
      </c>
      <c r="C6" s="2512">
        <f ca="1">IF(B6=G14,结果表!H108,ROUND(B6*10000/$B$1,0))</f>
        <v>37584</v>
      </c>
      <c r="D6" s="2512" t="e">
        <f ca="1">ROUND(B6*10000/$B$2,0)</f>
        <v>#DIV/0!</v>
      </c>
      <c r="E6" s="2686"/>
      <c r="F6" s="2687"/>
      <c r="G6" s="2687"/>
      <c r="H6" s="2688"/>
      <c r="I6" s="2688"/>
      <c r="J6" s="2688"/>
      <c r="K6" s="2688"/>
    </row>
    <row r="7" spans="1:11" ht="16.5">
      <c r="A7" s="2512" t="s">
        <v>662</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653</v>
      </c>
      <c r="B9" s="2520"/>
      <c r="C9" s="2686"/>
      <c r="D9" s="2686"/>
      <c r="E9" s="2686"/>
      <c r="F9" s="2687"/>
      <c r="G9" s="2687"/>
      <c r="H9" s="2688"/>
      <c r="I9" s="2688"/>
      <c r="J9" s="2688"/>
      <c r="K9" s="2688"/>
    </row>
    <row r="10" spans="1:11" ht="16.5">
      <c r="A10" s="2512" t="s">
        <v>652</v>
      </c>
      <c r="B10" s="2512">
        <f>IF(E10="",0,ROUND(B1*(E10*365/G10)/10000,0))</f>
        <v>0</v>
      </c>
      <c r="C10" s="2512" t="s">
        <v>3357</v>
      </c>
      <c r="D10" s="2512" t="s">
        <v>3358</v>
      </c>
      <c r="E10" s="3441"/>
      <c r="F10" s="3445" t="s">
        <v>3359</v>
      </c>
      <c r="G10" s="3442"/>
      <c r="H10" s="2688"/>
      <c r="I10" s="2688"/>
      <c r="J10" s="2688"/>
      <c r="K10" s="2688"/>
    </row>
    <row r="11" spans="1:11" ht="16.5">
      <c r="A11" s="2512" t="s">
        <v>668</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667</v>
      </c>
      <c r="B13" s="2516" t="s">
        <v>664</v>
      </c>
      <c r="C13" s="2516" t="s">
        <v>666</v>
      </c>
      <c r="D13" s="2516" t="s">
        <v>665</v>
      </c>
      <c r="E13" s="2512" t="s">
        <v>657</v>
      </c>
      <c r="F13" s="2512" t="s">
        <v>656</v>
      </c>
      <c r="G13" s="2516" t="s">
        <v>650</v>
      </c>
      <c r="H13" s="2516" t="s">
        <v>661</v>
      </c>
      <c r="I13" s="2516" t="s">
        <v>649</v>
      </c>
      <c r="J13" s="2687"/>
      <c r="K13" s="2688"/>
    </row>
    <row r="14" spans="1:11" ht="16.5">
      <c r="A14" s="2517" t="s">
        <v>3659</v>
      </c>
      <c r="B14" s="2518">
        <f>结果表!B118</f>
        <v>1168.2</v>
      </c>
      <c r="C14" s="2518"/>
      <c r="D14" s="2518">
        <f ca="1">结果表!H118</f>
        <v>4554</v>
      </c>
      <c r="E14" s="2518">
        <f ca="1">ROUND(D14*10000/B14,0)</f>
        <v>38983</v>
      </c>
      <c r="F14" s="2518" t="e">
        <f ca="1">ROUND(D14*10000/C14,0)</f>
        <v>#DIV/0!</v>
      </c>
      <c r="G14" s="2518">
        <f ca="1">D14</f>
        <v>4554</v>
      </c>
      <c r="H14" s="2518"/>
      <c r="I14" s="2518"/>
      <c r="J14" s="2687"/>
      <c r="K14" s="2688"/>
    </row>
    <row r="15" spans="1:11" ht="16.5">
      <c r="A15" s="2517" t="s">
        <v>3660</v>
      </c>
      <c r="B15" s="2519">
        <f>'结果表(划拨)'!B118</f>
        <v>17280.400000000001</v>
      </c>
      <c r="C15" s="2519"/>
      <c r="D15" s="2519">
        <f ca="1">'结果表(划拨)'!H118</f>
        <v>64784</v>
      </c>
      <c r="E15" s="2518">
        <f t="shared" ref="E15:E23" ca="1" si="0">ROUND(D15*10000/B15,0)</f>
        <v>37490</v>
      </c>
      <c r="F15" s="2518" t="e">
        <f ca="1">ROUND(D15*10000/C15,0)</f>
        <v>#DIV/0!</v>
      </c>
      <c r="G15" s="1331">
        <f ca="1">D15</f>
        <v>64784</v>
      </c>
      <c r="H15" s="1331"/>
      <c r="I15" s="2519"/>
      <c r="J15" s="2687"/>
      <c r="K15" s="2688"/>
    </row>
    <row r="16" spans="1:11" ht="16.5">
      <c r="A16" s="2517" t="s">
        <v>648</v>
      </c>
      <c r="B16" s="2519"/>
      <c r="C16" s="2519"/>
      <c r="D16" s="2519"/>
      <c r="E16" s="2518" t="e">
        <f t="shared" si="0"/>
        <v>#DIV/0!</v>
      </c>
      <c r="F16" s="2518" t="e">
        <f t="shared" ref="F16:F23" si="1">ROUND(D16*10000/C16,0)</f>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C109" zoomScale="85" zoomScaleNormal="100" zoomScaleSheetLayoutView="85" zoomScalePageLayoutView="80" workbookViewId="0">
      <selection activeCell="G24" sqref="G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1260</v>
      </c>
      <c r="B1" s="1747"/>
      <c r="C1" s="1748" t="s">
        <v>3643</v>
      </c>
      <c r="D1" s="1747"/>
      <c r="E1" s="1747"/>
      <c r="F1" s="1749" t="s">
        <v>1261</v>
      </c>
      <c r="G1" s="1561"/>
      <c r="H1" s="1750" t="str">
        <f>IF(G1="现房","——","估价对象范围")</f>
        <v>估价对象范围</v>
      </c>
      <c r="I1" s="1751"/>
    </row>
    <row r="2" spans="1:12" ht="21.75" customHeight="1" thickBot="1">
      <c r="A2" s="3790" t="str">
        <f>项目基本情况!S2</f>
        <v>北京市房地产</v>
      </c>
      <c r="B2" s="3791"/>
      <c r="C2" s="3791"/>
      <c r="D2" s="3791"/>
      <c r="E2" s="3791"/>
      <c r="F2" s="3791"/>
      <c r="G2" s="3791"/>
      <c r="H2" s="3791"/>
      <c r="I2" s="3792"/>
    </row>
    <row r="3" spans="1:12" ht="12.75">
      <c r="A3" s="3794" t="s">
        <v>1262</v>
      </c>
      <c r="B3" s="3795"/>
      <c r="C3" s="3795"/>
      <c r="D3" s="3795"/>
      <c r="E3" s="3795"/>
      <c r="F3" s="3795"/>
      <c r="G3" s="3795"/>
      <c r="H3" s="3795"/>
      <c r="I3" s="3795"/>
    </row>
    <row r="4" spans="1:12" ht="14.25">
      <c r="A4" s="1754" t="s">
        <v>1263</v>
      </c>
      <c r="B4" s="1755" t="s">
        <v>1264</v>
      </c>
      <c r="C4" s="1756" t="s">
        <v>3558</v>
      </c>
      <c r="D4" s="1756" t="s">
        <v>3543</v>
      </c>
      <c r="E4" s="3796" t="s">
        <v>1265</v>
      </c>
      <c r="F4" s="3797"/>
      <c r="G4" s="3797"/>
      <c r="H4" s="3797"/>
      <c r="I4" s="3798"/>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770" t="s">
        <v>1266</v>
      </c>
      <c r="B5" s="3757">
        <v>25</v>
      </c>
      <c r="C5" s="3773"/>
      <c r="D5" s="3793"/>
      <c r="E5" s="131" t="s">
        <v>1267</v>
      </c>
      <c r="F5" s="1757"/>
      <c r="G5" s="1757"/>
      <c r="H5" s="1757"/>
      <c r="I5" s="1373"/>
    </row>
    <row r="6" spans="1:12" ht="12.75">
      <c r="A6" s="3770"/>
      <c r="B6" s="3757"/>
      <c r="C6" s="3774"/>
      <c r="D6" s="3793"/>
      <c r="E6" s="131" t="s">
        <v>1268</v>
      </c>
      <c r="F6" s="1757"/>
      <c r="G6" s="1757"/>
      <c r="H6" s="1757"/>
      <c r="I6" s="1373"/>
    </row>
    <row r="7" spans="1:12" ht="12.75">
      <c r="A7" s="3770"/>
      <c r="B7" s="3757"/>
      <c r="C7" s="3775"/>
      <c r="D7" s="3793"/>
      <c r="E7" s="131" t="s">
        <v>1269</v>
      </c>
      <c r="F7" s="1757"/>
      <c r="G7" s="1757"/>
      <c r="H7" s="1757"/>
      <c r="I7" s="1373"/>
    </row>
    <row r="8" spans="1:12" ht="12.75">
      <c r="A8" s="3770" t="s">
        <v>1270</v>
      </c>
      <c r="B8" s="3757">
        <v>15</v>
      </c>
      <c r="C8" s="3773"/>
      <c r="D8" s="3793"/>
      <c r="E8" s="131" t="s">
        <v>1271</v>
      </c>
      <c r="F8" s="1757"/>
      <c r="G8" s="1757"/>
      <c r="H8" s="1757"/>
      <c r="I8" s="1373"/>
    </row>
    <row r="9" spans="1:12" ht="12.75">
      <c r="A9" s="3770"/>
      <c r="B9" s="3757"/>
      <c r="C9" s="3775"/>
      <c r="D9" s="3793"/>
      <c r="E9" s="131" t="s">
        <v>1272</v>
      </c>
      <c r="F9" s="1757"/>
      <c r="G9" s="1757"/>
      <c r="H9" s="1757"/>
      <c r="I9" s="1373"/>
    </row>
    <row r="10" spans="1:12" ht="12.75">
      <c r="A10" s="3770" t="s">
        <v>1273</v>
      </c>
      <c r="B10" s="3757">
        <v>15</v>
      </c>
      <c r="C10" s="3773"/>
      <c r="D10" s="3793"/>
      <c r="E10" s="131" t="s">
        <v>1274</v>
      </c>
      <c r="F10" s="1757"/>
      <c r="G10" s="1757"/>
      <c r="H10" s="1757"/>
      <c r="I10" s="1373"/>
    </row>
    <row r="11" spans="1:12" ht="12.75">
      <c r="A11" s="3770"/>
      <c r="B11" s="3757"/>
      <c r="C11" s="3775"/>
      <c r="D11" s="3793"/>
      <c r="E11" s="131" t="s">
        <v>1275</v>
      </c>
      <c r="F11" s="1757"/>
      <c r="G11" s="1757"/>
      <c r="H11" s="1757"/>
      <c r="I11" s="1373"/>
    </row>
    <row r="12" spans="1:12" ht="12.75">
      <c r="A12" s="3770" t="s">
        <v>1276</v>
      </c>
      <c r="B12" s="3757">
        <v>15</v>
      </c>
      <c r="C12" s="3773"/>
      <c r="D12" s="3793"/>
      <c r="E12" s="131" t="s">
        <v>1277</v>
      </c>
      <c r="F12" s="1757"/>
      <c r="G12" s="1757"/>
      <c r="H12" s="1757"/>
      <c r="I12" s="1373"/>
    </row>
    <row r="13" spans="1:12" ht="12.75">
      <c r="A13" s="3770"/>
      <c r="B13" s="3757"/>
      <c r="C13" s="3775"/>
      <c r="D13" s="3793"/>
      <c r="E13" s="131" t="s">
        <v>1278</v>
      </c>
      <c r="F13" s="1757"/>
      <c r="G13" s="1757"/>
      <c r="H13" s="1757"/>
      <c r="I13" s="1373"/>
    </row>
    <row r="14" spans="1:12" ht="12.75">
      <c r="A14" s="3770" t="s">
        <v>1279</v>
      </c>
      <c r="B14" s="3757">
        <v>30</v>
      </c>
      <c r="C14" s="3773">
        <v>5</v>
      </c>
      <c r="D14" s="3793">
        <v>5</v>
      </c>
      <c r="E14" s="131" t="s">
        <v>1280</v>
      </c>
      <c r="F14" s="1757"/>
      <c r="G14" s="1757"/>
      <c r="H14" s="1757"/>
      <c r="I14" s="1373"/>
    </row>
    <row r="15" spans="1:12" ht="12.75">
      <c r="A15" s="3770"/>
      <c r="B15" s="3757"/>
      <c r="C15" s="3774"/>
      <c r="D15" s="3793"/>
      <c r="E15" s="131" t="s">
        <v>1281</v>
      </c>
      <c r="F15" s="1757"/>
      <c r="G15" s="1757"/>
      <c r="H15" s="1757"/>
      <c r="I15" s="1373"/>
    </row>
    <row r="16" spans="1:12" ht="12.75">
      <c r="A16" s="3770"/>
      <c r="B16" s="3757"/>
      <c r="C16" s="3775"/>
      <c r="D16" s="3793"/>
      <c r="E16" s="131" t="s">
        <v>1282</v>
      </c>
      <c r="F16" s="1757"/>
      <c r="G16" s="1757"/>
      <c r="H16" s="1757"/>
      <c r="I16" s="1373"/>
    </row>
    <row r="17" spans="1:36" ht="15">
      <c r="A17" s="1758" t="s">
        <v>1283</v>
      </c>
      <c r="B17" s="56"/>
      <c r="C17" s="132">
        <f>SUM(C5:C16)</f>
        <v>5</v>
      </c>
      <c r="D17" s="132">
        <f>SUM(D5:D16)</f>
        <v>5</v>
      </c>
      <c r="E17" s="129"/>
      <c r="F17" s="129"/>
      <c r="G17" s="129"/>
      <c r="H17" s="129"/>
      <c r="I17" s="129"/>
      <c r="K17" s="302"/>
      <c r="L17" s="302" t="s">
        <v>1284</v>
      </c>
      <c r="M17" s="302" t="s">
        <v>1285</v>
      </c>
    </row>
    <row r="18" spans="1:36" ht="31.9" customHeight="1" thickBot="1">
      <c r="A18" s="1759" t="s">
        <v>1286</v>
      </c>
      <c r="B18" s="1760"/>
      <c r="C18" s="133">
        <f>ROUND(C17/SUM(C17:D17),2)</f>
        <v>0.5</v>
      </c>
      <c r="D18" s="133">
        <f>1-C18</f>
        <v>0.5</v>
      </c>
      <c r="E18" s="3780" t="s">
        <v>2128</v>
      </c>
      <c r="F18" s="3781"/>
      <c r="G18" s="3781"/>
      <c r="H18" s="3781"/>
      <c r="I18" s="3781"/>
      <c r="K18" s="302" t="s">
        <v>1287</v>
      </c>
      <c r="L18" s="302">
        <f>IF(C1="",'数据-汇总表'!E3,SUMIF(项目类型,C1,'数据-汇总表'!E17:E26)+SUMIF(项目类型,C1,'数据-汇总表'!I17:I26))</f>
        <v>1168.2</v>
      </c>
      <c r="M18" s="302">
        <f>IF(C1="",'数据-汇总表'!E3,SUMIF(项目类型,C1,'数据-汇总表'!E17:E26))</f>
        <v>1168.2</v>
      </c>
    </row>
    <row r="19" spans="1:36" ht="15">
      <c r="A19" s="1761" t="s">
        <v>1288</v>
      </c>
      <c r="B19" s="1762" t="s">
        <v>1289</v>
      </c>
      <c r="C19" s="134">
        <f ca="1">SUMIF(INDIRECT("'"&amp;C4&amp;"'"&amp;"!A:A"),结果表!B19,INDIRECT("'"&amp;C4&amp;"'"&amp;"!B:B"))</f>
        <v>5896</v>
      </c>
      <c r="D19" s="135">
        <f ca="1">SUMIF(INDIRECT("'"&amp;D4&amp;"'"&amp;"!A:A"),结果表!B19,INDIRECT("'"&amp;D4&amp;"'"&amp;"!B:B"))</f>
        <v>3211</v>
      </c>
      <c r="E19" s="1761" t="s">
        <v>1290</v>
      </c>
      <c r="F19" s="1762" t="s">
        <v>1289</v>
      </c>
      <c r="G19" s="136">
        <f ca="1">ROUND(C19*$C$18+D19*$D$18,0)</f>
        <v>4554</v>
      </c>
      <c r="H19" s="1763" t="s">
        <v>1291</v>
      </c>
      <c r="I19" s="129"/>
      <c r="K19" s="302" t="s">
        <v>1292</v>
      </c>
      <c r="L19" s="302">
        <f>IF(C1="",'数据-汇总表'!D3,SUMIF(项目类型,C1,'数据-汇总表'!D17:D26)+SUMIF(项目类型,C1,'数据-汇总表'!H17:H27))</f>
        <v>0</v>
      </c>
      <c r="M19" s="302">
        <f>IF(C1="",'数据-汇总表'!D3,SUMIF(项目类型,C1,'数据-汇总表'!D17:D26))</f>
        <v>0</v>
      </c>
    </row>
    <row r="20" spans="1:36" ht="15">
      <c r="A20" s="1764"/>
      <c r="B20" s="1026" t="s">
        <v>1293</v>
      </c>
      <c r="C20" s="137">
        <f ca="1">SUMIF(INDIRECT("'"&amp;C4&amp;"'"&amp;"!A:A"),结果表!B20,INDIRECT("'"&amp;C4&amp;"'"&amp;"!B:B"))</f>
        <v>50471</v>
      </c>
      <c r="D20" s="138">
        <f ca="1">SUMIF(INDIRECT("'"&amp;D4&amp;"'"&amp;"!A:A"),结果表!B20,INDIRECT("'"&amp;D4&amp;"'"&amp;"!B:B"))</f>
        <v>27487</v>
      </c>
      <c r="E20" s="1764"/>
      <c r="F20" s="1026" t="s">
        <v>1293</v>
      </c>
      <c r="G20" s="139">
        <f ca="1">ROUND(C20*$C$18+D20*$D$18,0)</f>
        <v>38979</v>
      </c>
      <c r="H20" s="808" t="s">
        <v>1294</v>
      </c>
      <c r="I20" s="129"/>
    </row>
    <row r="21" spans="1:36" ht="15" customHeight="1" thickBot="1">
      <c r="A21" s="828"/>
      <c r="B21" s="1765" t="s">
        <v>1295</v>
      </c>
      <c r="C21" s="719" t="e">
        <f ca="1">ROUND(C19*10000/L19,0)</f>
        <v>#DIV/0!</v>
      </c>
      <c r="D21" s="720" t="e">
        <f ca="1">ROUND(D19*10000/L19,0)</f>
        <v>#DIV/0!</v>
      </c>
      <c r="E21" s="828"/>
      <c r="F21" s="1765" t="s">
        <v>1295</v>
      </c>
      <c r="G21" s="140" t="e">
        <f ca="1">ROUND(G19*10000/L19,0)</f>
        <v>#DIV/0!</v>
      </c>
      <c r="H21" s="1766" t="s">
        <v>1294</v>
      </c>
      <c r="I21" s="129"/>
    </row>
    <row r="22" spans="1:36" ht="15" thickBot="1">
      <c r="A22" s="1688" t="s">
        <v>1296</v>
      </c>
      <c r="B22" s="1767"/>
      <c r="C22" s="1768"/>
      <c r="D22" s="721">
        <f ca="1">IF(C19&lt;D19,D19/C19-1,C19/D19-1)</f>
        <v>0.83618810339458105</v>
      </c>
      <c r="E22" s="129"/>
      <c r="F22" s="129"/>
      <c r="G22" s="129"/>
      <c r="H22" s="129"/>
      <c r="I22" s="129"/>
    </row>
    <row r="23" spans="1:36" ht="13.5" thickBot="1">
      <c r="A23" s="1747"/>
      <c r="B23" s="1747"/>
      <c r="C23" s="1747"/>
      <c r="D23" s="1747"/>
      <c r="E23" s="129"/>
      <c r="F23" s="129"/>
      <c r="G23" s="129"/>
      <c r="H23" s="129"/>
      <c r="I23" s="129"/>
    </row>
    <row r="24" spans="1:36" ht="14.25">
      <c r="A24" s="3764" t="s">
        <v>1297</v>
      </c>
      <c r="B24" s="1762" t="s">
        <v>1289</v>
      </c>
      <c r="C24" s="136">
        <f>IF(B30=0,0,D30)</f>
        <v>0</v>
      </c>
      <c r="D24" s="1769"/>
      <c r="E24" s="129"/>
      <c r="F24" s="129"/>
      <c r="G24" s="129"/>
      <c r="H24" s="129"/>
      <c r="I24" s="129"/>
    </row>
    <row r="25" spans="1:36" ht="14.25">
      <c r="A25" s="3765"/>
      <c r="B25" s="1026" t="s">
        <v>1293</v>
      </c>
      <c r="C25" s="141">
        <f>IF(B30=0,0,C30)</f>
        <v>0</v>
      </c>
      <c r="D25" s="1770"/>
      <c r="E25" s="129"/>
      <c r="F25" s="129"/>
      <c r="G25" s="129"/>
      <c r="H25" s="129"/>
      <c r="I25" s="129"/>
    </row>
    <row r="26" spans="1:36" ht="13.5" customHeight="1">
      <c r="A26" s="1771" t="s">
        <v>1298</v>
      </c>
      <c r="B26" s="142" t="s">
        <v>1299</v>
      </c>
      <c r="C26" s="142" t="s">
        <v>1300</v>
      </c>
      <c r="D26" s="143" t="s">
        <v>1301</v>
      </c>
      <c r="E26" s="129"/>
      <c r="F26" s="129"/>
      <c r="G26" s="129"/>
      <c r="H26" s="129"/>
      <c r="I26" s="129"/>
    </row>
    <row r="27" spans="1:36" ht="14.25">
      <c r="A27" s="1771"/>
      <c r="B27" s="142"/>
      <c r="C27" s="142"/>
      <c r="D27" s="143">
        <f>ROUND(C27*B27*1.0305/10000,0)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1302</v>
      </c>
      <c r="B30" s="142">
        <f>B27</f>
        <v>0</v>
      </c>
      <c r="C30" s="142">
        <f>C27</f>
        <v>0</v>
      </c>
      <c r="D30" s="142">
        <f>D27</f>
        <v>0</v>
      </c>
      <c r="E30" s="2303" t="s">
        <v>2129</v>
      </c>
      <c r="F30" s="129"/>
      <c r="G30" s="129"/>
      <c r="H30" s="129"/>
      <c r="I30" s="129"/>
    </row>
    <row r="31" spans="1:36" s="2309" customFormat="1" ht="26.45" customHeight="1" thickTop="1" thickBot="1">
      <c r="A31" s="2304"/>
      <c r="B31" s="2305"/>
      <c r="C31" s="2305"/>
      <c r="D31" s="2305"/>
      <c r="E31" s="2305"/>
      <c r="F31" s="2305"/>
      <c r="G31" s="2305"/>
      <c r="H31" s="2305"/>
      <c r="I31" s="2306" t="s">
        <v>2130</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1303</v>
      </c>
      <c r="B32" s="1774"/>
      <c r="C32" s="144">
        <f ca="1">IF(D32="总价",G19-C24,G20-C25)</f>
        <v>4554</v>
      </c>
      <c r="D32" s="1775" t="s">
        <v>3566</v>
      </c>
      <c r="E32" s="129"/>
      <c r="F32" s="129"/>
      <c r="G32" s="129"/>
      <c r="H32" s="129"/>
      <c r="I32" s="129"/>
    </row>
    <row r="33" spans="1:15" ht="15">
      <c r="A33" s="786" t="s">
        <v>1304</v>
      </c>
      <c r="B33" s="1776"/>
      <c r="C33" s="1777"/>
      <c r="D33" s="1778"/>
      <c r="E33" s="1779" t="s">
        <v>1305</v>
      </c>
      <c r="F33" s="1780" t="str">
        <f>IF(D32="楼面单价","取值（单价）","取值（总价）")</f>
        <v>取值（总价）</v>
      </c>
      <c r="G33" s="129"/>
      <c r="H33" s="129"/>
      <c r="I33" s="129"/>
    </row>
    <row r="34" spans="1:15" ht="15">
      <c r="A34" s="1781"/>
      <c r="B34" s="1782" t="s">
        <v>1306</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1307</v>
      </c>
      <c r="F34" s="1330"/>
      <c r="G34" s="129"/>
      <c r="H34" s="129"/>
      <c r="I34" s="129"/>
    </row>
    <row r="35" spans="1:15" ht="15.75" thickBot="1">
      <c r="A35" s="1784"/>
      <c r="B35" s="1785" t="s">
        <v>1308</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1309</v>
      </c>
      <c r="F35" s="154"/>
      <c r="G35" s="129"/>
      <c r="H35" s="129"/>
      <c r="I35" s="129"/>
    </row>
    <row r="36" spans="1:15" ht="15.75" thickBot="1">
      <c r="A36" s="3784" t="s">
        <v>1310</v>
      </c>
      <c r="B36" s="1787" t="s">
        <v>1311</v>
      </c>
      <c r="C36" s="145"/>
      <c r="D36" s="1788"/>
      <c r="E36" s="1789"/>
      <c r="F36" s="1790"/>
      <c r="G36" s="129"/>
      <c r="H36" s="129"/>
      <c r="I36" s="129"/>
    </row>
    <row r="37" spans="1:15" ht="15.75" thickBot="1">
      <c r="A37" s="3785"/>
      <c r="B37" s="1674" t="s">
        <v>1312</v>
      </c>
      <c r="C37" s="147"/>
      <c r="D37" s="1139"/>
      <c r="E37" s="1139"/>
      <c r="F37" s="1790"/>
      <c r="G37" s="129"/>
      <c r="H37" s="129"/>
      <c r="I37" s="129"/>
    </row>
    <row r="38" spans="1:15" ht="15.75" thickBot="1">
      <c r="A38" s="3786"/>
      <c r="B38" s="1791" t="s">
        <v>1313</v>
      </c>
      <c r="C38" s="674"/>
      <c r="D38" s="1792" t="s">
        <v>1314</v>
      </c>
      <c r="E38" s="1139"/>
      <c r="F38" s="1790"/>
      <c r="G38" s="129"/>
      <c r="H38" s="129"/>
      <c r="I38" s="129"/>
    </row>
    <row r="39" spans="1:15" ht="15">
      <c r="A39" s="1764" t="s">
        <v>1315</v>
      </c>
      <c r="B39" s="1793" t="s">
        <v>1316</v>
      </c>
      <c r="C39" s="1794" t="s">
        <v>1317</v>
      </c>
      <c r="D39" s="1794" t="s">
        <v>1318</v>
      </c>
      <c r="E39" s="1795" t="s">
        <v>1319</v>
      </c>
      <c r="F39" s="1790"/>
      <c r="G39" s="129"/>
      <c r="H39" s="129"/>
      <c r="I39" s="129"/>
    </row>
    <row r="40" spans="1:15" ht="14.25">
      <c r="A40" s="1796" t="s">
        <v>1320</v>
      </c>
      <c r="B40" s="149"/>
      <c r="C40" s="150"/>
      <c r="D40" s="150"/>
      <c r="E40" s="151"/>
      <c r="F40" s="1790"/>
      <c r="G40" s="129"/>
      <c r="H40" s="129"/>
      <c r="I40" s="129"/>
    </row>
    <row r="41" spans="1:15" ht="14.25">
      <c r="A41" s="1796" t="s">
        <v>1321</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1322</v>
      </c>
      <c r="B44" s="1801"/>
      <c r="C44" s="1801"/>
      <c r="D44" s="1802"/>
      <c r="E44" s="1802"/>
      <c r="F44" s="1803"/>
      <c r="G44" s="1803"/>
      <c r="H44" s="1803"/>
      <c r="I44" s="1803"/>
      <c r="J44" s="1804" t="s">
        <v>1323</v>
      </c>
      <c r="K44" s="1805"/>
      <c r="L44" s="1805"/>
      <c r="M44" s="1805"/>
      <c r="N44" s="1805"/>
      <c r="O44" s="1805"/>
    </row>
    <row r="45" spans="1:15" ht="14.25" customHeight="1" thickBot="1">
      <c r="A45" s="3761" t="s">
        <v>1324</v>
      </c>
      <c r="B45" s="3762"/>
      <c r="C45" s="3763"/>
      <c r="D45" s="155">
        <f ca="1">ROUND(H101*F45,0)</f>
        <v>4554</v>
      </c>
      <c r="E45" s="156" t="s">
        <v>1325</v>
      </c>
      <c r="F45" s="157">
        <v>1</v>
      </c>
      <c r="G45" s="158" t="s">
        <v>1326</v>
      </c>
      <c r="H45" s="129"/>
      <c r="I45" s="129"/>
      <c r="J45" s="3839" t="s">
        <v>1327</v>
      </c>
      <c r="K45" s="3839"/>
      <c r="L45" s="3839"/>
      <c r="M45" s="3839"/>
      <c r="N45" s="3839"/>
      <c r="O45" s="3839"/>
    </row>
    <row r="46" spans="1:15" ht="14.25" customHeight="1">
      <c r="A46" s="3758" t="s">
        <v>1328</v>
      </c>
      <c r="B46" s="3759"/>
      <c r="C46" s="3759"/>
      <c r="D46" s="3759"/>
      <c r="E46" s="3759"/>
      <c r="F46" s="3759"/>
      <c r="G46" s="3760"/>
      <c r="H46" s="1806"/>
      <c r="I46" s="159"/>
      <c r="J46" s="2523">
        <v>1</v>
      </c>
      <c r="K46" s="3820" t="s">
        <v>1329</v>
      </c>
      <c r="L46" s="3820"/>
      <c r="M46" s="3840"/>
      <c r="N46" s="3840"/>
      <c r="O46" s="3840"/>
    </row>
    <row r="47" spans="1:15" ht="12" customHeight="1">
      <c r="A47" s="160" t="s">
        <v>1330</v>
      </c>
      <c r="B47" s="161"/>
      <c r="C47" s="162"/>
      <c r="D47" s="1087" t="s">
        <v>1331</v>
      </c>
      <c r="E47" s="302" t="s">
        <v>1332</v>
      </c>
      <c r="F47" s="163" t="s">
        <v>1333</v>
      </c>
      <c r="G47" s="2546" t="s">
        <v>1334</v>
      </c>
      <c r="H47" s="2547"/>
      <c r="I47" s="159"/>
      <c r="J47" s="2523">
        <v>2</v>
      </c>
      <c r="K47" s="3820" t="s">
        <v>1335</v>
      </c>
      <c r="L47" s="3820"/>
      <c r="M47" s="3841">
        <f>'数据-取费表'!B2</f>
        <v>45400</v>
      </c>
      <c r="N47" s="3841"/>
      <c r="O47" s="3841"/>
    </row>
    <row r="48" spans="1:15" ht="25.5">
      <c r="A48" s="3789" t="s">
        <v>1336</v>
      </c>
      <c r="B48" s="3772"/>
      <c r="C48" s="3772"/>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1337</v>
      </c>
      <c r="H48" s="2550"/>
      <c r="I48" s="1806"/>
      <c r="J48" s="2523">
        <v>3</v>
      </c>
      <c r="K48" s="3820" t="s">
        <v>1338</v>
      </c>
      <c r="L48" s="3820"/>
      <c r="M48" s="3842">
        <f ca="1">H101</f>
        <v>4554</v>
      </c>
      <c r="N48" s="3842"/>
      <c r="O48" s="3842"/>
    </row>
    <row r="49" spans="1:35" ht="25.5" customHeight="1">
      <c r="A49" s="2333" t="s">
        <v>1339</v>
      </c>
      <c r="B49" s="3756" t="s">
        <v>1340</v>
      </c>
      <c r="C49" s="3756"/>
      <c r="D49" s="1590">
        <v>0</v>
      </c>
      <c r="E49" s="324" t="s">
        <v>1341</v>
      </c>
      <c r="F49" s="2424" t="s">
        <v>28</v>
      </c>
      <c r="G49" s="3826"/>
      <c r="H49" s="2310" t="s">
        <v>2131</v>
      </c>
      <c r="I49" s="2311"/>
      <c r="J49" s="2523">
        <v>4</v>
      </c>
      <c r="K49" s="3820" t="str">
        <f>IF(项目基本情况!E8="房地产抵押价值","房地产抵押价值","抵押担保权已注销时的房地产抵押价值")</f>
        <v>房地产抵押价值</v>
      </c>
      <c r="L49" s="3820"/>
      <c r="M49" s="3842">
        <f ca="1">IF(项目基本情况!E8="房地产抵押价值",H107,H109)</f>
        <v>4554</v>
      </c>
      <c r="N49" s="3842"/>
      <c r="O49" s="3842"/>
    </row>
    <row r="50" spans="1:35" ht="25.5" customHeight="1">
      <c r="A50" s="2551"/>
      <c r="B50" s="3756" t="s">
        <v>1342</v>
      </c>
      <c r="C50" s="3756"/>
      <c r="D50" s="2552"/>
      <c r="E50" s="332"/>
      <c r="F50" s="2424"/>
      <c r="G50" s="3827"/>
      <c r="H50" s="2312" t="s">
        <v>2132</v>
      </c>
      <c r="I50" s="2311"/>
      <c r="J50" s="3839" t="s">
        <v>1343</v>
      </c>
      <c r="K50" s="3839"/>
      <c r="L50" s="3839"/>
      <c r="M50" s="3839"/>
      <c r="N50" s="3839"/>
      <c r="O50" s="3839"/>
    </row>
    <row r="51" spans="1:35" ht="20.45" customHeight="1">
      <c r="A51" s="2553"/>
      <c r="B51" s="3756" t="s">
        <v>1344</v>
      </c>
      <c r="C51" s="3756"/>
      <c r="D51" s="1087"/>
      <c r="E51" s="327"/>
      <c r="F51" s="2424"/>
      <c r="G51" s="3828"/>
      <c r="H51" s="2312" t="s">
        <v>2133</v>
      </c>
      <c r="I51" s="2311"/>
      <c r="J51" s="2524" t="s">
        <v>1345</v>
      </c>
      <c r="K51" s="3820" t="s">
        <v>1346</v>
      </c>
      <c r="L51" s="3820"/>
      <c r="M51" s="2524" t="s">
        <v>1347</v>
      </c>
      <c r="N51" s="2524" t="s">
        <v>1348</v>
      </c>
      <c r="O51" s="2524" t="s">
        <v>1349</v>
      </c>
    </row>
    <row r="52" spans="1:35" ht="24" customHeight="1">
      <c r="A52" s="2335" t="s">
        <v>1350</v>
      </c>
      <c r="B52" s="3756" t="s">
        <v>1351</v>
      </c>
      <c r="C52" s="3756"/>
      <c r="D52" s="1087">
        <f ca="1">ROUND(D45*'数据-取费表'!B41/(1+'数据-取费表'!C42),0)</f>
        <v>243</v>
      </c>
      <c r="E52" s="2334" t="s">
        <v>1352</v>
      </c>
      <c r="F52" s="2554">
        <f>'数据-取费表'!B41</f>
        <v>5.6000000000000001E-2</v>
      </c>
      <c r="G52" s="2555"/>
      <c r="H52" s="2544"/>
      <c r="I52" s="1807"/>
      <c r="J52" s="2523">
        <v>1</v>
      </c>
      <c r="K52" s="3821" t="s">
        <v>1353</v>
      </c>
      <c r="L52" s="3821"/>
      <c r="M52" s="2525" t="b">
        <f>D48</f>
        <v>0</v>
      </c>
      <c r="N52" s="2523" t="str">
        <f>E48</f>
        <v>销售额×税（费）率</v>
      </c>
      <c r="O52" s="2526">
        <f>F48</f>
        <v>5.6000000000000001E-2</v>
      </c>
    </row>
    <row r="53" spans="1:35" ht="12" customHeight="1">
      <c r="A53" s="2335" t="s">
        <v>1354</v>
      </c>
      <c r="B53" s="3782" t="s">
        <v>2288</v>
      </c>
      <c r="C53" s="3783"/>
      <c r="D53" s="1087">
        <f ca="1">ROUND(D45*'数据-取费表'!B41/(1+'数据-取费表'!C42),0)</f>
        <v>243</v>
      </c>
      <c r="E53" s="2334" t="s">
        <v>1352</v>
      </c>
      <c r="F53" s="2554">
        <f>'数据-取费表'!B41</f>
        <v>5.6000000000000001E-2</v>
      </c>
      <c r="G53" s="2555"/>
      <c r="H53" s="2544"/>
      <c r="I53" s="1807"/>
      <c r="J53" s="2523">
        <v>2</v>
      </c>
      <c r="K53" s="3821" t="s">
        <v>1355</v>
      </c>
      <c r="L53" s="3821"/>
      <c r="M53" s="2525">
        <f t="shared" ref="M53:O54" ca="1" si="0">D55</f>
        <v>2</v>
      </c>
      <c r="N53" s="2523" t="str">
        <f t="shared" si="0"/>
        <v>销售额×税（费）率</v>
      </c>
      <c r="O53" s="2526" t="str">
        <f t="shared" si="0"/>
        <v>免征</v>
      </c>
    </row>
    <row r="54" spans="1:35" ht="12" customHeight="1">
      <c r="A54" s="2335" t="s">
        <v>1356</v>
      </c>
      <c r="B54" s="3782" t="s">
        <v>2289</v>
      </c>
      <c r="C54" s="3783"/>
      <c r="D54" s="1087">
        <f ca="1">C68</f>
        <v>243</v>
      </c>
      <c r="E54" s="327" t="s">
        <v>1357</v>
      </c>
      <c r="F54" s="2554">
        <f>'数据-取费表'!B41</f>
        <v>5.6000000000000001E-2</v>
      </c>
      <c r="G54" s="2555"/>
      <c r="H54" s="2556"/>
      <c r="I54" s="1807"/>
      <c r="J54" s="2523">
        <v>3</v>
      </c>
      <c r="K54" s="3821" t="s">
        <v>1358</v>
      </c>
      <c r="L54" s="3821"/>
      <c r="M54" s="2525">
        <f t="shared" ca="1" si="0"/>
        <v>2578</v>
      </c>
      <c r="N54" s="2523" t="str">
        <f t="shared" si="0"/>
        <v>增值额×税（费）率</v>
      </c>
      <c r="O54" s="2527" t="str">
        <f t="shared" si="0"/>
        <v>免征</v>
      </c>
    </row>
    <row r="55" spans="1:35" ht="24" customHeight="1">
      <c r="A55" s="3771" t="s">
        <v>1359</v>
      </c>
      <c r="B55" s="3772"/>
      <c r="C55" s="3772"/>
      <c r="D55" s="2324">
        <f ca="1">IF(H55="个人住宅",0,ROUND(D45*I55,0))</f>
        <v>2</v>
      </c>
      <c r="E55" s="2334" t="s">
        <v>1360</v>
      </c>
      <c r="F55" s="2554" t="str">
        <f>IF(H55="正常",I55,"免征")</f>
        <v>免征</v>
      </c>
      <c r="G55" s="2555"/>
      <c r="H55" s="2550"/>
      <c r="I55" s="165">
        <f>'数据-取费表'!B49</f>
        <v>5.0000000000000001E-4</v>
      </c>
      <c r="J55" s="2523">
        <f>IF(H59="非个人房产","",4)</f>
        <v>4</v>
      </c>
      <c r="K55" s="3821" t="str">
        <f>IF(H59="非个人房产","——","个人所得税")</f>
        <v>个人所得税</v>
      </c>
      <c r="L55" s="3821"/>
      <c r="M55" s="2528">
        <f ca="1">D59</f>
        <v>43</v>
      </c>
      <c r="N55" s="2040" t="str">
        <f>E59</f>
        <v>差额计税</v>
      </c>
      <c r="O55" s="2529">
        <f>F59</f>
        <v>0.01</v>
      </c>
    </row>
    <row r="56" spans="1:35" ht="24.75">
      <c r="A56" s="3771" t="s">
        <v>1361</v>
      </c>
      <c r="B56" s="3772"/>
      <c r="C56" s="3772"/>
      <c r="D56" s="2324">
        <f ca="1">IF(H56="个人住宅",D57,D58)</f>
        <v>2578</v>
      </c>
      <c r="E56" s="2334" t="s">
        <v>1362</v>
      </c>
      <c r="F56" s="2554" t="str">
        <f>IF(H56="正常",F58,"免征")</f>
        <v>免征</v>
      </c>
      <c r="G56" s="2557" t="s">
        <v>1363</v>
      </c>
      <c r="H56" s="2558"/>
      <c r="I56" s="1808"/>
      <c r="J56" s="2523" t="str">
        <f>IF(项目基本情况!K6="上海银行",IF(J55="",4,J55+1),"")</f>
        <v/>
      </c>
      <c r="K56" s="3844" t="str">
        <f>IF(项目基本情况!K6="上海银行","其他处置费用","")</f>
        <v/>
      </c>
      <c r="L56" s="3845"/>
      <c r="M56" s="2525" t="str">
        <f>IF(项目基本情况!K6="上海银行",M69,"")</f>
        <v/>
      </c>
      <c r="N56" s="3844" t="str">
        <f>IF(项目基本情况!K6="上海银行","包含处置中涉及的律师、诉讼、拍卖、评估等费用","")</f>
        <v/>
      </c>
      <c r="O56" s="3847"/>
    </row>
    <row r="57" spans="1:35" ht="12.75">
      <c r="A57" s="2335" t="s">
        <v>1339</v>
      </c>
      <c r="B57" s="3782" t="s">
        <v>1364</v>
      </c>
      <c r="C57" s="3783"/>
      <c r="D57" s="1590">
        <v>0</v>
      </c>
      <c r="E57" s="324" t="s">
        <v>1341</v>
      </c>
      <c r="F57" s="302"/>
      <c r="G57" s="2555"/>
      <c r="H57" s="2559"/>
      <c r="I57" s="1808"/>
      <c r="J57" s="3821">
        <f>IF(AND(J55="",J56=""),4,IF(项目基本情况!K6="上海银行",结果表!J56+1,结果表!J55+1))</f>
        <v>5</v>
      </c>
      <c r="K57" s="3821" t="s">
        <v>1365</v>
      </c>
      <c r="L57" s="2530" t="s">
        <v>1366</v>
      </c>
      <c r="M57" s="2531"/>
      <c r="N57" s="2532">
        <f ca="1">SUMIF(M52:M56,"&lt;9e307")</f>
        <v>2623</v>
      </c>
      <c r="O57" s="2533"/>
      <c r="P57" s="2690">
        <f ca="1">N57/M49</f>
        <v>0.57597716293368473</v>
      </c>
    </row>
    <row r="58" spans="1:35" ht="24.75">
      <c r="A58" s="2335" t="s">
        <v>1350</v>
      </c>
      <c r="B58" s="3782" t="s">
        <v>1367</v>
      </c>
      <c r="C58" s="3756"/>
      <c r="D58" s="2324">
        <f ca="1">IF(H58="转让取得",C81,C97)</f>
        <v>2578</v>
      </c>
      <c r="E58" s="2334" t="s">
        <v>1362</v>
      </c>
      <c r="F58" s="302" t="s">
        <v>28</v>
      </c>
      <c r="G58" s="2555"/>
      <c r="H58" s="2558"/>
      <c r="I58" s="1808"/>
      <c r="J58" s="3821"/>
      <c r="K58" s="3821"/>
      <c r="L58" s="2530" t="s">
        <v>1368</v>
      </c>
      <c r="M58" s="2534"/>
      <c r="N58" s="2535" t="str">
        <f ca="1">NUMBERSTRING(INT(N57*10000),2)&amp;"元整"</f>
        <v>贰仟陆佰贰拾叁万元整</v>
      </c>
      <c r="O58" s="2536"/>
    </row>
    <row r="59" spans="1:35" ht="24.75" thickBot="1">
      <c r="A59" s="3824" t="s">
        <v>1369</v>
      </c>
      <c r="B59" s="3825"/>
      <c r="C59" s="3825"/>
      <c r="D59" s="2560">
        <f ca="1">IF(H59="非个人房产","——",IF(H59="个人住宅（满五唯一有凭证）",0,IF(H59="个人其他（无凭证）",ROUND(D45*F59,0),ROUND(C67*F59,0))))</f>
        <v>43</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1363</v>
      </c>
      <c r="H59" s="2314"/>
      <c r="I59" s="2313" t="s">
        <v>2134</v>
      </c>
      <c r="J59" s="3822">
        <f>J57+1</f>
        <v>6</v>
      </c>
      <c r="K59" s="3821" t="s">
        <v>1370</v>
      </c>
      <c r="L59" s="2523" t="s">
        <v>1366</v>
      </c>
      <c r="M59" s="2537"/>
      <c r="N59" s="2538">
        <f ca="1">M49-N57</f>
        <v>1931</v>
      </c>
      <c r="O59" s="2539"/>
    </row>
    <row r="60" spans="1:35" ht="12" customHeight="1">
      <c r="A60" s="1809"/>
      <c r="B60" s="1747"/>
      <c r="C60" s="1747"/>
      <c r="D60" s="1747"/>
      <c r="E60" s="1578"/>
      <c r="F60" s="1808"/>
      <c r="G60" s="1808"/>
      <c r="H60" s="1810"/>
      <c r="I60" s="129"/>
      <c r="J60" s="3823"/>
      <c r="K60" s="3821"/>
      <c r="L60" s="2530" t="s">
        <v>1368</v>
      </c>
      <c r="M60" s="2534"/>
      <c r="N60" s="2535" t="str">
        <f ca="1">NUMBERSTRING(INT(N59*10000),2)&amp;"元整"</f>
        <v>壹仟玖佰叁拾壹万元整</v>
      </c>
      <c r="O60" s="2536"/>
    </row>
    <row r="61" spans="1:35" ht="13.5" thickBot="1">
      <c r="A61" s="3769" t="s">
        <v>1371</v>
      </c>
      <c r="B61" s="3769"/>
      <c r="C61" s="3769"/>
      <c r="D61" s="3769"/>
      <c r="E61" s="3769"/>
      <c r="F61" s="1808"/>
      <c r="G61" s="1808"/>
      <c r="H61" s="1810"/>
      <c r="I61" s="129"/>
      <c r="J61" s="2523">
        <f>J59+1</f>
        <v>7</v>
      </c>
      <c r="K61" s="3821" t="s">
        <v>1372</v>
      </c>
      <c r="L61" s="3821"/>
      <c r="M61" s="2540"/>
      <c r="N61" s="2541">
        <f ca="1">ROUND(N59*10000/'数据-汇总表'!E3,0)</f>
        <v>1047</v>
      </c>
      <c r="O61" s="2542"/>
    </row>
    <row r="62" spans="1:35" ht="12.75">
      <c r="A62" s="3787" t="s">
        <v>1373</v>
      </c>
      <c r="B62" s="3788"/>
      <c r="C62" s="2021"/>
      <c r="D62" s="2021" t="s">
        <v>1374</v>
      </c>
      <c r="E62" s="166" t="s">
        <v>1375</v>
      </c>
      <c r="F62" s="1808"/>
      <c r="G62" s="1808"/>
      <c r="H62" s="1810"/>
      <c r="I62" s="129"/>
    </row>
    <row r="63" spans="1:35" ht="12.75">
      <c r="A63" s="173" t="s">
        <v>330</v>
      </c>
      <c r="B63" s="167" t="s">
        <v>1376</v>
      </c>
      <c r="C63" s="2564">
        <f ca="1">ROUND((C64+C65)/(1+'数据-取费表'!C42),0)</f>
        <v>4337</v>
      </c>
      <c r="D63" s="167"/>
      <c r="E63" s="168"/>
      <c r="F63" s="1808"/>
      <c r="G63" s="1808"/>
      <c r="H63" s="1810"/>
      <c r="I63" s="129"/>
      <c r="J63" s="3846" t="s">
        <v>1377</v>
      </c>
      <c r="K63" s="1332" t="s">
        <v>1378</v>
      </c>
      <c r="L63" s="1332">
        <f ca="1">IF(M49&gt;10000,M49*0.5%,IF(AND(M49&gt;1000,M49&lt;=10000),M49*1%,IF(AND(M49&gt;100,M49&lt;=1000),M49*3%,IF(AND(M49&gt;10,M49&lt;=100),M49*5%,M49*8%))))</f>
        <v>45.54</v>
      </c>
      <c r="M63" s="302">
        <f ca="1">ROUND(L63,1)</f>
        <v>45.5</v>
      </c>
      <c r="N63" s="2543"/>
      <c r="Z63" s="1752"/>
      <c r="AI63" s="1753"/>
    </row>
    <row r="64" spans="1:35" ht="14.25" customHeight="1">
      <c r="A64" s="169" t="s">
        <v>325</v>
      </c>
      <c r="B64" s="170" t="s">
        <v>1379</v>
      </c>
      <c r="C64" s="2565">
        <f ca="1">D45</f>
        <v>4554</v>
      </c>
      <c r="D64" s="170" t="s">
        <v>26</v>
      </c>
      <c r="E64" s="172"/>
      <c r="F64" s="1808"/>
      <c r="G64" s="1808"/>
      <c r="H64" s="1810"/>
      <c r="I64" s="129"/>
      <c r="J64" s="3846"/>
      <c r="K64" s="1332" t="s">
        <v>1380</v>
      </c>
      <c r="L64" s="1332">
        <f ca="1">IF(M49&gt;2000,M49*0.5%,IF(AND(M49&gt;1000,M49&lt;=2000),M49*0.6%,IF(AND(M49&gt;500,M49&lt;=1000),M49*0.7%,IF(AND(M49&gt;200,M49&lt;=500),M49*0.8%,IF(AND(M49&gt;100,M49&lt;=200),M49*0.9%,IF(AND(M49&gt;50,M49&lt;=100),M49*1%,IF(AND(M49&gt;20,M49&lt;=50),M49*1.5%,IF(AND(M49&gt;10,M49&lt;=20),M49*2%,IF(AND(M49&gt;1,M49&lt;=10),M49*2.5%)))))))))</f>
        <v>22.77</v>
      </c>
      <c r="M64" s="302">
        <f t="shared" ref="M64:M65" ca="1" si="1">ROUND(L64,1)</f>
        <v>22.8</v>
      </c>
      <c r="N64" s="2544" t="s">
        <v>1381</v>
      </c>
      <c r="Z64" s="1752"/>
      <c r="AI64" s="1753"/>
    </row>
    <row r="65" spans="1:35" ht="14.25" customHeight="1">
      <c r="A65" s="169" t="s">
        <v>326</v>
      </c>
      <c r="B65" s="170" t="s">
        <v>1382</v>
      </c>
      <c r="C65" s="2566"/>
      <c r="D65" s="170"/>
      <c r="E65" s="172"/>
      <c r="F65" s="1808"/>
      <c r="G65" s="1808"/>
      <c r="H65" s="1810"/>
      <c r="I65" s="129"/>
      <c r="J65" s="3846"/>
      <c r="K65" s="1332" t="s">
        <v>1383</v>
      </c>
      <c r="L65" s="1332">
        <f ca="1">IF(M49&gt;1000,M49*0.1%,IF(AND(M49&gt;500,M49&lt;=1000),M49*0.5%,IF(AND(M49&gt;50,M49&lt;=500),M49*1%,IF(AND(M49&gt;1,M49&lt;=50),M49*1.5%))))</f>
        <v>4.5540000000000003</v>
      </c>
      <c r="M65" s="302">
        <f t="shared" ca="1" si="1"/>
        <v>4.5999999999999996</v>
      </c>
      <c r="N65" s="2544" t="s">
        <v>1381</v>
      </c>
      <c r="Z65" s="1752"/>
      <c r="AI65" s="1753"/>
    </row>
    <row r="66" spans="1:35" ht="14.25" customHeight="1">
      <c r="A66" s="173" t="s">
        <v>327</v>
      </c>
      <c r="B66" s="174" t="s">
        <v>1384</v>
      </c>
      <c r="C66" s="2567"/>
      <c r="D66" s="174" t="s">
        <v>26</v>
      </c>
      <c r="E66" s="1338" t="s">
        <v>669</v>
      </c>
      <c r="F66" s="1808"/>
      <c r="G66" s="1808"/>
      <c r="H66" s="1810"/>
      <c r="I66" s="129"/>
      <c r="J66" s="3846"/>
      <c r="K66" s="1332" t="s">
        <v>1385</v>
      </c>
      <c r="L66" s="1332">
        <f ca="1">M49*0.5%</f>
        <v>22.77</v>
      </c>
      <c r="M66" s="302">
        <f ca="1">IF(L66&gt;0.5,0.5,ROUND(L66,0))</f>
        <v>0.5</v>
      </c>
      <c r="N66" s="2544" t="s">
        <v>1386</v>
      </c>
      <c r="Z66" s="1752"/>
      <c r="AI66" s="1753"/>
    </row>
    <row r="67" spans="1:35" ht="14.25" customHeight="1">
      <c r="A67" s="173" t="s">
        <v>328</v>
      </c>
      <c r="B67" s="174" t="s">
        <v>1387</v>
      </c>
      <c r="C67" s="2568">
        <f ca="1">C63-C66</f>
        <v>4337</v>
      </c>
      <c r="D67" s="170" t="s">
        <v>26</v>
      </c>
      <c r="E67" s="172"/>
      <c r="F67" s="1808"/>
      <c r="G67" s="1808"/>
      <c r="H67" s="1810"/>
      <c r="I67" s="129"/>
      <c r="J67" s="3846"/>
      <c r="K67" s="1332" t="s">
        <v>1388</v>
      </c>
      <c r="L67" s="1332">
        <f ca="1">IF(M49&gt;=10000,(8.25+(M49-10000)*0.01%),IF(AND(M49&gt;=8000,M49&lt;10000),(7.85+(M49-8000)*0.02%),IF(AND(M49&gt;=5000,M49&lt;8000),(6.65+(M49-5000)*0.04%),IF(AND(M49&gt;=2000,M49&lt;5000),(4.25+(PM49-2000)*0.08%),IF(AND(M49&gt;=1000,M49&lt;2000),(2.75+(M49-1000)*0.15%),IF(AND(M49&gt;=100,M49&lt;1000),(0.5+(M49-100)*0.25%),IF(AND(M49&gt;0,M49&lt;100),M49*0.5%)))))))</f>
        <v>2.65</v>
      </c>
      <c r="M67" s="302">
        <f ca="1">ROUND(L67*0.9,1)</f>
        <v>2.4</v>
      </c>
      <c r="N67" s="2543"/>
      <c r="Z67" s="1752"/>
      <c r="AI67" s="1753"/>
    </row>
    <row r="68" spans="1:35" ht="14.25" customHeight="1" thickBot="1">
      <c r="A68" s="176" t="s">
        <v>329</v>
      </c>
      <c r="B68" s="177" t="s">
        <v>1389</v>
      </c>
      <c r="C68" s="2569">
        <f ca="1">IF(C67&lt;=0,0,ROUND(C67*D68,0))</f>
        <v>243</v>
      </c>
      <c r="D68" s="2570">
        <f>'数据-取费表'!B41</f>
        <v>5.6000000000000001E-2</v>
      </c>
      <c r="E68" s="178"/>
      <c r="F68" s="1808"/>
      <c r="G68" s="1808"/>
      <c r="H68" s="1810"/>
      <c r="I68" s="129"/>
      <c r="J68" s="3846"/>
      <c r="K68" s="1332" t="s">
        <v>1390</v>
      </c>
      <c r="L68" s="1332">
        <f ca="1">IF(M49&gt;10000,M49*0.5%,IF(AND(M49&gt;5000,M49&lt;=10000),M49*1%,IF(AND(M49&gt;1000,M49&lt;=5000),M49*2%,IF(AND(M49&gt;200,M49&lt;=1000),M49*3%,M49*5%))))</f>
        <v>91.08</v>
      </c>
      <c r="M68" s="302">
        <f ca="1">ROUND(L68,1)</f>
        <v>91.1</v>
      </c>
      <c r="N68" s="2543"/>
      <c r="Z68" s="1752"/>
      <c r="AI68" s="1753"/>
    </row>
    <row r="69" spans="1:35" s="1772" customFormat="1" ht="16.5" customHeight="1">
      <c r="A69" s="1811"/>
      <c r="B69" s="1812"/>
      <c r="C69" s="1813"/>
      <c r="D69" s="1814"/>
      <c r="E69" s="1815"/>
      <c r="F69" s="1578"/>
      <c r="G69" s="1578"/>
      <c r="H69" s="1577"/>
      <c r="I69" s="1747"/>
      <c r="J69" s="3846"/>
      <c r="K69" s="1332" t="s">
        <v>1391</v>
      </c>
      <c r="L69" s="1332"/>
      <c r="M69" s="302">
        <f ca="1">ROUND(SUM(M63:M68),0)</f>
        <v>167</v>
      </c>
      <c r="N69" s="2545">
        <f ca="1">M69/M49</f>
        <v>3.6671058410188848E-2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808" t="s">
        <v>1392</v>
      </c>
      <c r="B70" s="3809"/>
      <c r="C70" s="3809"/>
      <c r="D70" s="3809"/>
      <c r="E70" s="3809"/>
      <c r="F70" s="3809"/>
      <c r="G70" s="3809"/>
      <c r="H70" s="3809"/>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787" t="s">
        <v>1373</v>
      </c>
      <c r="B71" s="3788"/>
      <c r="C71" s="2021"/>
      <c r="D71" s="2021" t="s">
        <v>1374</v>
      </c>
      <c r="E71" s="179" t="s">
        <v>1375</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1393</v>
      </c>
      <c r="C72" s="2568">
        <f ca="1">ROUND(D45/(1+'数据-取费表'!C42),0)</f>
        <v>4337</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1394</v>
      </c>
      <c r="C73" s="2568">
        <f ca="1">C74+C78</f>
        <v>26</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1395</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1396</v>
      </c>
      <c r="C75" s="2571"/>
      <c r="D75" s="170" t="s">
        <v>26</v>
      </c>
      <c r="E75" s="184" t="s">
        <v>1397</v>
      </c>
      <c r="F75" s="2572"/>
      <c r="G75" s="184" t="s">
        <v>1398</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1399</v>
      </c>
      <c r="C76" s="170">
        <f>IF(F75="购房发票",ROUND(C75*H75*D76,0),0)</f>
        <v>0</v>
      </c>
      <c r="D76" s="2574">
        <v>0.05</v>
      </c>
      <c r="E76" s="3782" t="s">
        <v>1400</v>
      </c>
      <c r="F76" s="3756"/>
      <c r="G76" s="3756"/>
      <c r="H76" s="380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1401</v>
      </c>
      <c r="C77" s="170">
        <f>ROUND(IF(G77="个人住宅",0,IF(G77="2016年5月1日前购买",C75*D77,C75*D77/(1+'数据-取费表'!C42))),0)</f>
        <v>0</v>
      </c>
      <c r="D77" s="2575">
        <f>'数据-取费表'!B48+'数据-取费表'!B49</f>
        <v>3.0499999999999999E-2</v>
      </c>
      <c r="E77" s="2324" t="s">
        <v>1402</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1403</v>
      </c>
      <c r="C78" s="2576">
        <f ca="1">ROUND(D45*D78/(1+'数据-取费表'!C42),0)</f>
        <v>26</v>
      </c>
      <c r="D78" s="2577">
        <f>'数据-取费表'!B43</f>
        <v>6.000000000000001E-3</v>
      </c>
      <c r="E78" s="3766" t="s">
        <v>1404</v>
      </c>
      <c r="F78" s="3767"/>
      <c r="G78" s="3767"/>
      <c r="H78" s="377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1405</v>
      </c>
      <c r="C79" s="2568">
        <f ca="1">C72-C73</f>
        <v>4311</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1406</v>
      </c>
      <c r="C80" s="2578">
        <f ca="1">IF(C79&lt;=0,0,C79/C73)</f>
        <v>165.80769230769232</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1407</v>
      </c>
      <c r="C81" s="2579">
        <f ca="1">ROUND(IF(C79&lt;=0,0,IF(C80&gt;=200%,C79*60%-C73*35%,IF(C80&gt;=100%,C79*50%-C73*15%,IF(C80&gt;=50%,C79*40%-C73*5%,IF(C80&lt;50%,C79*30%,0))))),0)</f>
        <v>2578</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808" t="s">
        <v>1408</v>
      </c>
      <c r="B83" s="3809"/>
      <c r="C83" s="3809"/>
      <c r="D83" s="3809"/>
      <c r="E83" s="3809"/>
      <c r="F83" s="3809"/>
      <c r="G83" s="3809"/>
      <c r="H83" s="380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787" t="s">
        <v>1373</v>
      </c>
      <c r="B84" s="3788"/>
      <c r="C84" s="2021"/>
      <c r="D84" s="2021" t="s">
        <v>1374</v>
      </c>
      <c r="E84" s="179" t="s">
        <v>1375</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1393</v>
      </c>
      <c r="C85" s="2568">
        <f ca="1">ROUND(D45/(1+'数据-取费表'!C42),0)</f>
        <v>4337</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1394</v>
      </c>
      <c r="C86" s="2568">
        <f ca="1">IF(H88="仅含出让金",C87+C90+C91+C92+C93+C94,C87+C91+C92+C93+C94)</f>
        <v>26</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1409</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1410</v>
      </c>
      <c r="C88" s="2582"/>
      <c r="D88" s="2577"/>
      <c r="E88" s="193" t="s">
        <v>1411</v>
      </c>
      <c r="F88" s="2327"/>
      <c r="G88" s="194" t="s">
        <v>1412</v>
      </c>
      <c r="H88" s="1824"/>
      <c r="I88" s="1821"/>
      <c r="J88" s="2521" t="s">
        <v>2285</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1401</v>
      </c>
      <c r="C89" s="2576">
        <f>ROUND(C88*D89,0)</f>
        <v>0</v>
      </c>
      <c r="D89" s="2577">
        <f>'数据-取费表'!B48+'数据-取费表'!B49</f>
        <v>3.0499999999999999E-2</v>
      </c>
      <c r="E89" s="193" t="s">
        <v>1413</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1414</v>
      </c>
      <c r="C90" s="2582"/>
      <c r="D90" s="2577"/>
      <c r="E90" s="193" t="str">
        <f>IF(H88="-","土地取得成本中已包含该笔费用"," ")</f>
        <v xml:space="preserve"> </v>
      </c>
      <c r="F90" s="2327"/>
      <c r="G90" s="3848" t="s">
        <v>2126</v>
      </c>
      <c r="H90" s="3849"/>
      <c r="I90" s="1821"/>
      <c r="J90" s="2521" t="s">
        <v>2286</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1415</v>
      </c>
      <c r="B91" s="170" t="s">
        <v>1416</v>
      </c>
      <c r="C91" s="2576">
        <f>IF(H91="——",成本法!C33,I91)</f>
        <v>0</v>
      </c>
      <c r="D91" s="2577"/>
      <c r="E91" s="3766" t="s">
        <v>1417</v>
      </c>
      <c r="F91" s="3767"/>
      <c r="G91" s="376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1418</v>
      </c>
      <c r="B92" s="170" t="s">
        <v>1419</v>
      </c>
      <c r="C92" s="2576">
        <f>ROUND((C87+C90+C91)*D92,0)</f>
        <v>0</v>
      </c>
      <c r="D92" s="2583"/>
      <c r="E92" s="3766" t="s">
        <v>1420</v>
      </c>
      <c r="F92" s="3767"/>
      <c r="G92" s="3767"/>
      <c r="H92" s="3776"/>
      <c r="I92" s="1821"/>
      <c r="J92" s="2522" t="s">
        <v>2287</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1421</v>
      </c>
      <c r="B93" s="170" t="s">
        <v>1403</v>
      </c>
      <c r="C93" s="2576">
        <f ca="1">ROUND(D45*D93/(1+'数据-取费表'!C42),0)</f>
        <v>26</v>
      </c>
      <c r="D93" s="2577">
        <f>'数据-取费表'!B43</f>
        <v>6.000000000000001E-3</v>
      </c>
      <c r="E93" s="3766" t="s">
        <v>1404</v>
      </c>
      <c r="F93" s="3767"/>
      <c r="G93" s="3767"/>
      <c r="H93" s="377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1422</v>
      </c>
      <c r="B94" s="170" t="s">
        <v>1423</v>
      </c>
      <c r="C94" s="2582">
        <f>ROUND((C87+C90+C91)*D94,0)</f>
        <v>0</v>
      </c>
      <c r="D94" s="2577">
        <v>0.2</v>
      </c>
      <c r="E94" s="3777" t="s">
        <v>1424</v>
      </c>
      <c r="F94" s="3778"/>
      <c r="G94" s="3778"/>
      <c r="H94" s="377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1405</v>
      </c>
      <c r="C95" s="2568">
        <f ca="1">ROUND(C85-C86,0)</f>
        <v>4311</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1406</v>
      </c>
      <c r="C96" s="2578">
        <f ca="1">IF(C95&lt;=0,0,C95/C86)</f>
        <v>165.80769230769232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1407</v>
      </c>
      <c r="C97" s="2579">
        <f ca="1">ROUND(IF(C95&lt;=0,0,IF(C96&gt;=200%,C95*60%-C86*35%,IF(C96&gt;=100%,C95*50%-C86*15%,IF(C96&gt;=50%,C95*40%-C86*5%,IF(C96&lt;50%,C95*30%,0))))),0)</f>
        <v>2578</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1425</v>
      </c>
      <c r="B99" s="1747"/>
      <c r="C99" s="1747"/>
      <c r="D99" s="1747"/>
      <c r="E99" s="1578"/>
      <c r="F99" s="1578"/>
      <c r="G99" s="1578"/>
      <c r="H99" s="1577"/>
      <c r="I99" s="129"/>
    </row>
    <row r="100" spans="1:35" ht="18.75" customHeight="1">
      <c r="A100" s="3750" t="s">
        <v>1426</v>
      </c>
      <c r="B100" s="3751"/>
      <c r="C100" s="3751"/>
      <c r="D100" s="3768"/>
      <c r="E100" s="3751" t="s">
        <v>1427</v>
      </c>
      <c r="F100" s="3751"/>
      <c r="G100" s="3751"/>
      <c r="H100" s="3768"/>
      <c r="I100" s="129"/>
    </row>
    <row r="101" spans="1:35" ht="18.75" customHeight="1">
      <c r="A101" s="3829" t="s">
        <v>1428</v>
      </c>
      <c r="B101" s="3830"/>
      <c r="C101" s="2585" t="str">
        <f>C4</f>
        <v>成本法</v>
      </c>
      <c r="D101" s="2586" t="str">
        <f>D4</f>
        <v>收益法</v>
      </c>
      <c r="E101" s="3843" t="s">
        <v>1429</v>
      </c>
      <c r="F101" s="3800"/>
      <c r="G101" s="1827" t="s">
        <v>1430</v>
      </c>
      <c r="H101" s="2595">
        <f ca="1">H118</f>
        <v>4554</v>
      </c>
      <c r="I101" s="129"/>
    </row>
    <row r="102" spans="1:35" ht="18.75" customHeight="1">
      <c r="A102" s="3802" t="s">
        <v>1431</v>
      </c>
      <c r="B102" s="2584" t="s">
        <v>1430</v>
      </c>
      <c r="C102" s="2585">
        <f ca="1">IF(D32="楼面单价",ROUND(C19,0),C19)</f>
        <v>5896</v>
      </c>
      <c r="D102" s="2586">
        <f ca="1">IF(D32="楼面单价",ROUND(D19,0),D19)</f>
        <v>3211</v>
      </c>
      <c r="E102" s="3843"/>
      <c r="F102" s="3800"/>
      <c r="G102" s="1827" t="s">
        <v>1432</v>
      </c>
      <c r="H102" s="2555">
        <f ca="1">I118</f>
        <v>38983</v>
      </c>
      <c r="I102" s="129"/>
    </row>
    <row r="103" spans="1:35" ht="42.75" customHeight="1">
      <c r="A103" s="3802"/>
      <c r="B103" s="2584" t="s">
        <v>1432</v>
      </c>
      <c r="C103" s="2587">
        <f ca="1">C20</f>
        <v>50471</v>
      </c>
      <c r="D103" s="2588">
        <f ca="1">D20</f>
        <v>27487</v>
      </c>
      <c r="E103" s="3837" t="s">
        <v>1433</v>
      </c>
      <c r="F103" s="3838"/>
      <c r="G103" s="1828" t="s">
        <v>1434</v>
      </c>
      <c r="H103" s="2595">
        <f>IF(D36="正常操作",H104+H105+H106,H105+H106)</f>
        <v>0</v>
      </c>
      <c r="I103" s="129"/>
    </row>
    <row r="104" spans="1:35" ht="18.75" customHeight="1">
      <c r="A104" s="3802" t="s">
        <v>1435</v>
      </c>
      <c r="B104" s="2589" t="s">
        <v>1430</v>
      </c>
      <c r="C104" s="2590">
        <f ca="1">H118</f>
        <v>4554</v>
      </c>
      <c r="D104" s="2591"/>
      <c r="E104" s="1674" t="s">
        <v>1436</v>
      </c>
      <c r="F104" s="1666"/>
      <c r="G104" s="1828" t="s">
        <v>1434</v>
      </c>
      <c r="H104" s="2596">
        <f>IF(D36="同一抵押权人同一抵押物续贷",C36&amp;"（续贷，未扣减，详见特别提示）",C36)</f>
        <v>0</v>
      </c>
      <c r="I104" s="129"/>
    </row>
    <row r="105" spans="1:35" ht="18.75" customHeight="1" thickBot="1">
      <c r="A105" s="3803"/>
      <c r="B105" s="2592" t="s">
        <v>1432</v>
      </c>
      <c r="C105" s="2593">
        <f ca="1">I118</f>
        <v>38983</v>
      </c>
      <c r="D105" s="2594"/>
      <c r="E105" s="1674" t="s">
        <v>1437</v>
      </c>
      <c r="F105" s="1666"/>
      <c r="G105" s="1828" t="s">
        <v>1434</v>
      </c>
      <c r="H105" s="2597">
        <f>C37</f>
        <v>0</v>
      </c>
      <c r="I105" s="129"/>
    </row>
    <row r="106" spans="1:35" ht="18.75" customHeight="1">
      <c r="A106" s="1747" t="s">
        <v>1438</v>
      </c>
      <c r="B106" s="1747"/>
      <c r="C106" s="1747"/>
      <c r="D106" s="1747"/>
      <c r="E106" s="1829" t="s">
        <v>1439</v>
      </c>
      <c r="F106" s="1666"/>
      <c r="G106" s="1828" t="s">
        <v>1434</v>
      </c>
      <c r="H106" s="2597">
        <f>C38</f>
        <v>0</v>
      </c>
      <c r="I106" s="129"/>
    </row>
    <row r="107" spans="1:35" ht="18.75" customHeight="1">
      <c r="A107" s="129"/>
      <c r="B107" s="129"/>
      <c r="C107" s="129"/>
      <c r="D107" s="129"/>
      <c r="E107" s="3799" t="str">
        <f>IF(项目基本情况!E8="已注销","——","3.房地产抵押价值")</f>
        <v>3.房地产抵押价值</v>
      </c>
      <c r="F107" s="3800"/>
      <c r="G107" s="1827" t="s">
        <v>1430</v>
      </c>
      <c r="H107" s="2595">
        <f ca="1">IF(E107="——","——",H101-H103)</f>
        <v>4554</v>
      </c>
      <c r="I107" s="129"/>
    </row>
    <row r="108" spans="1:35" ht="18.75" customHeight="1">
      <c r="A108" s="129"/>
      <c r="B108" s="129"/>
      <c r="C108" s="129"/>
      <c r="D108" s="129"/>
      <c r="E108" s="3799"/>
      <c r="F108" s="3800"/>
      <c r="G108" s="1827" t="s">
        <v>1432</v>
      </c>
      <c r="H108" s="2555">
        <f ca="1">IF(H107=H101,H102,ROUND(H107*10000/'数据-汇总表'!E3,0))</f>
        <v>38983</v>
      </c>
      <c r="I108" s="129"/>
    </row>
    <row r="109" spans="1:35" ht="18.75" customHeight="1">
      <c r="A109" s="129"/>
      <c r="B109" s="129"/>
      <c r="C109" s="129"/>
      <c r="D109" s="129"/>
      <c r="E109" s="3799" t="str">
        <f>IF(项目基本情况!E8="已注销及未注销","4.抵押担保权已注销时的房地产抵押价值",IF(项目基本情况!E8="已注销","3.抵押担保权已注销时的房地产抵押价值","——"))</f>
        <v>——</v>
      </c>
      <c r="F109" s="3800"/>
      <c r="G109" s="1827" t="s">
        <v>1430</v>
      </c>
      <c r="H109" s="2598" t="str">
        <f>IF(E109="——","——",H101-H105-H106)</f>
        <v>——</v>
      </c>
      <c r="I109" s="129"/>
    </row>
    <row r="110" spans="1:35" ht="18.75" customHeight="1">
      <c r="A110" s="129"/>
      <c r="B110" s="129"/>
      <c r="C110" s="129"/>
      <c r="D110" s="129"/>
      <c r="E110" s="3799"/>
      <c r="F110" s="3800"/>
      <c r="G110" s="1827" t="s">
        <v>1432</v>
      </c>
      <c r="H110" s="2555" t="str">
        <f>IF(H109="——","——",ROUND(H109*10000/'数据-汇总表'!E3,0))</f>
        <v>——</v>
      </c>
      <c r="I110" s="129"/>
    </row>
    <row r="111" spans="1:35" ht="18.75" customHeight="1">
      <c r="A111" s="129"/>
      <c r="B111" s="129"/>
      <c r="C111" s="129"/>
      <c r="D111" s="129"/>
      <c r="E111" s="3831" t="str">
        <f>IF(项目基本情况!E9="抵押净值",IF(OR(项目基本情况!E8="已注销",项目基本情况!E8="房地产抵押价值"),"4.抵押净值","5.抵押净值"),"——")</f>
        <v>——</v>
      </c>
      <c r="F111" s="3801"/>
      <c r="G111" s="1827" t="s">
        <v>1430</v>
      </c>
      <c r="H111" s="2595" t="str">
        <f>IF(E111="——","——",N59)</f>
        <v>——</v>
      </c>
      <c r="I111" s="129"/>
    </row>
    <row r="112" spans="1:35" ht="18.75" customHeight="1" thickBot="1">
      <c r="A112" s="129"/>
      <c r="B112" s="129"/>
      <c r="C112" s="129"/>
      <c r="D112" s="129"/>
      <c r="E112" s="3832"/>
      <c r="F112" s="3833"/>
      <c r="G112" s="1830" t="s">
        <v>1432</v>
      </c>
      <c r="H112" s="2599" t="str">
        <f>IF(E111="——","——",N61)</f>
        <v>——</v>
      </c>
      <c r="I112" s="129"/>
    </row>
    <row r="113" spans="1:27" ht="18.75" customHeight="1">
      <c r="A113" s="129"/>
      <c r="B113" s="129"/>
      <c r="C113" s="129"/>
      <c r="D113" s="129"/>
      <c r="E113" s="3804" t="s">
        <v>1438</v>
      </c>
      <c r="F113" s="3804"/>
      <c r="G113" s="3804"/>
      <c r="H113" s="3804"/>
      <c r="I113" s="129"/>
    </row>
    <row r="114" spans="1:27" ht="3.75" customHeight="1">
      <c r="A114" s="1747"/>
      <c r="B114" s="1747"/>
      <c r="C114" s="1747"/>
      <c r="D114" s="1747"/>
      <c r="E114" s="1809"/>
      <c r="F114" s="1809"/>
      <c r="G114" s="1809"/>
      <c r="H114" s="1809"/>
      <c r="I114" s="1747"/>
    </row>
    <row r="115" spans="1:27" ht="18.75" customHeight="1">
      <c r="A115" s="3814" t="s">
        <v>1440</v>
      </c>
      <c r="B115" s="3815"/>
      <c r="C115" s="3815"/>
      <c r="D115" s="3815"/>
      <c r="E115" s="3815"/>
      <c r="F115" s="3815"/>
      <c r="G115" s="3815"/>
      <c r="H115" s="3815"/>
      <c r="I115" s="3816"/>
    </row>
    <row r="116" spans="1:27" ht="27" customHeight="1">
      <c r="A116" s="3770" t="s">
        <v>1441</v>
      </c>
      <c r="B116" s="3805" t="s">
        <v>1442</v>
      </c>
      <c r="C116" s="3805" t="s">
        <v>1443</v>
      </c>
      <c r="D116" s="3818" t="s">
        <v>1444</v>
      </c>
      <c r="E116" s="3819"/>
      <c r="F116" s="3813" t="s">
        <v>1445</v>
      </c>
      <c r="G116" s="3813"/>
      <c r="H116" s="3770" t="s">
        <v>1446</v>
      </c>
      <c r="I116" s="3770"/>
    </row>
    <row r="117" spans="1:27" ht="18.75" customHeight="1">
      <c r="A117" s="3770"/>
      <c r="B117" s="3806"/>
      <c r="C117" s="3806"/>
      <c r="D117" s="2329" t="s">
        <v>1447</v>
      </c>
      <c r="E117" s="2329" t="s">
        <v>1448</v>
      </c>
      <c r="F117" s="2329" t="s">
        <v>1447</v>
      </c>
      <c r="G117" s="2329" t="s">
        <v>1449</v>
      </c>
      <c r="H117" s="2329" t="s">
        <v>1447</v>
      </c>
      <c r="I117" s="2329" t="s">
        <v>1449</v>
      </c>
    </row>
    <row r="118" spans="1:27" ht="24.75" customHeight="1">
      <c r="A118" s="2600" t="str">
        <f>项目基本情况!S2</f>
        <v>北京市房地产</v>
      </c>
      <c r="B118" s="2329">
        <f>M18</f>
        <v>1168.2</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4554</v>
      </c>
      <c r="I118" s="2329">
        <f ca="1">ROUND(IF(D32="楼面单价",C32,H118*10000/B118),0)</f>
        <v>38983</v>
      </c>
    </row>
    <row r="119" spans="1:27" ht="18.75" customHeight="1">
      <c r="A119" s="3770" t="s">
        <v>1450</v>
      </c>
      <c r="B119" s="3770"/>
      <c r="C119" s="3770"/>
      <c r="D119" s="3810" t="e">
        <f ca="1">NUMBERSTRING(INT(D118*10000),2)&amp;"元整"</f>
        <v>#REF!</v>
      </c>
      <c r="E119" s="3812"/>
      <c r="F119" s="3810" t="e">
        <f ca="1">NUMBERSTRING(INT(F118*10000),2)&amp;"元整"</f>
        <v>#REF!</v>
      </c>
      <c r="G119" s="3812"/>
      <c r="H119" s="3810" t="str">
        <f ca="1">NUMBERSTRING(INT(H118*10000),2)&amp;"元整"</f>
        <v>肆仟伍佰伍拾肆万元整</v>
      </c>
      <c r="I119" s="3812"/>
    </row>
    <row r="120" spans="1:27" ht="18.75" customHeight="1">
      <c r="A120" s="3834" t="str">
        <f>IF(项目基本情况!B9="房地产市场价值","",MID(E103,3,LEN(E103)-2))</f>
        <v>估价师知悉的法定优先受偿款</v>
      </c>
      <c r="B120" s="3835"/>
      <c r="C120" s="3836"/>
      <c r="D120" s="3834">
        <f>H103</f>
        <v>0</v>
      </c>
      <c r="E120" s="3835"/>
      <c r="F120" s="3835"/>
      <c r="G120" s="3835"/>
      <c r="H120" s="3835"/>
      <c r="I120" s="3836"/>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810" t="s">
        <v>1450</v>
      </c>
      <c r="B121" s="3811"/>
      <c r="C121" s="3812"/>
      <c r="D121" s="3810" t="str">
        <f>IF(D120=0,"零元整",NUMBERSTRING(INT(D120*10000),2)&amp;"元整")</f>
        <v>零元整</v>
      </c>
      <c r="E121" s="3811"/>
      <c r="F121" s="3811"/>
      <c r="G121" s="3811"/>
      <c r="H121" s="3811"/>
      <c r="I121" s="3812"/>
      <c r="AA121" s="725"/>
    </row>
    <row r="122" spans="1:27" ht="18.75" customHeight="1">
      <c r="A122" s="3801" t="str">
        <f>IF(项目基本情况!B9="房地产市场价值","",MID(E107,3,LEN(E107)-2))</f>
        <v>房地产抵押价值</v>
      </c>
      <c r="B122" s="3801"/>
      <c r="C122" s="3801"/>
      <c r="D122" s="3834">
        <f ca="1">H107</f>
        <v>4554</v>
      </c>
      <c r="E122" s="3835"/>
      <c r="F122" s="3835"/>
      <c r="G122" s="3835"/>
      <c r="H122" s="3835"/>
      <c r="I122" s="3836"/>
      <c r="AA122" s="725"/>
    </row>
    <row r="123" spans="1:27" ht="18.75" customHeight="1">
      <c r="A123" s="3770" t="s">
        <v>1450</v>
      </c>
      <c r="B123" s="3770"/>
      <c r="C123" s="3770"/>
      <c r="D123" s="3810" t="str">
        <f ca="1">NUMBERSTRING(INT(D122*10000),2)&amp;"元整"</f>
        <v>肆仟伍佰伍拾肆万元整</v>
      </c>
      <c r="E123" s="3811"/>
      <c r="F123" s="3811"/>
      <c r="G123" s="3811"/>
      <c r="H123" s="3811"/>
      <c r="I123" s="3812"/>
      <c r="AA123" s="725"/>
    </row>
    <row r="124" spans="1:27" ht="18.75" customHeight="1">
      <c r="A124" s="3801" t="str">
        <f>IF(项目基本情况!B9="房地产市场价值","",MID(E109,3,LEN(E109)-2))</f>
        <v/>
      </c>
      <c r="B124" s="3801"/>
      <c r="C124" s="3801"/>
      <c r="D124" s="3834" t="str">
        <f>H109</f>
        <v>——</v>
      </c>
      <c r="E124" s="3835"/>
      <c r="F124" s="3835"/>
      <c r="G124" s="3835"/>
      <c r="H124" s="3835"/>
      <c r="I124" s="3836"/>
      <c r="AA124" s="725"/>
    </row>
    <row r="125" spans="1:27" ht="18.75" customHeight="1">
      <c r="A125" s="3770" t="s">
        <v>1450</v>
      </c>
      <c r="B125" s="3770"/>
      <c r="C125" s="3770"/>
      <c r="D125" s="3810" t="e">
        <f>NUMBERSTRING(INT(D124*10000),2)&amp;"元整"</f>
        <v>#VALUE!</v>
      </c>
      <c r="E125" s="3811"/>
      <c r="F125" s="3811"/>
      <c r="G125" s="3811"/>
      <c r="H125" s="3811"/>
      <c r="I125" s="3812"/>
      <c r="AA125" s="725"/>
    </row>
    <row r="126" spans="1:27" ht="18.75" customHeight="1">
      <c r="A126" s="3801" t="str">
        <f>IF(项目基本情况!B9="房地产市场价值","",MID(E111,3,LEN(E111)-2))</f>
        <v/>
      </c>
      <c r="B126" s="3801"/>
      <c r="C126" s="3801"/>
      <c r="D126" s="3834" t="str">
        <f>H111</f>
        <v>——</v>
      </c>
      <c r="E126" s="3835"/>
      <c r="F126" s="3835"/>
      <c r="G126" s="3835"/>
      <c r="H126" s="3835"/>
      <c r="I126" s="3836"/>
      <c r="AA126" s="725"/>
    </row>
    <row r="127" spans="1:27" ht="18.75" customHeight="1">
      <c r="A127" s="3770" t="s">
        <v>1450</v>
      </c>
      <c r="B127" s="3770"/>
      <c r="C127" s="3770"/>
      <c r="D127" s="3810" t="e">
        <f>NUMBERSTRING(INT(D126*10000),2)&amp;"元整"</f>
        <v>#VALUE!</v>
      </c>
      <c r="E127" s="3811"/>
      <c r="F127" s="3811"/>
      <c r="G127" s="3811"/>
      <c r="H127" s="3811"/>
      <c r="I127" s="3812"/>
      <c r="AA127" s="725"/>
    </row>
    <row r="128" spans="1:27" ht="21.75" customHeight="1">
      <c r="A128" s="3817" t="s">
        <v>1451</v>
      </c>
      <c r="B128" s="3817"/>
      <c r="C128" s="3817"/>
      <c r="D128" s="3817"/>
      <c r="E128" s="3817"/>
      <c r="F128" s="3817"/>
      <c r="G128" s="3817"/>
      <c r="H128" s="3817"/>
      <c r="I128" s="3817"/>
      <c r="AA128" s="725"/>
    </row>
    <row r="129" spans="1:35" ht="21.75" customHeight="1">
      <c r="A129" s="1831" t="s">
        <v>1452</v>
      </c>
      <c r="B129" s="1832"/>
      <c r="C129" s="1833" t="s">
        <v>1453</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1454</v>
      </c>
      <c r="G135" s="1848"/>
      <c r="H135" s="1848"/>
      <c r="I135" s="1849" t="s">
        <v>1455</v>
      </c>
    </row>
    <row r="136" spans="1:35" ht="21.75" customHeight="1">
      <c r="A136" s="725"/>
      <c r="B136" s="1850" t="s">
        <v>1456</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1457</v>
      </c>
    </row>
    <row r="139" spans="1:35" ht="21.75" customHeight="1">
      <c r="A139" s="725"/>
      <c r="B139" s="1850" t="s">
        <v>1458</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1457</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22" priority="21" stopIfTrue="1" operator="equal">
      <formula>25</formula>
    </cfRule>
  </conditionalFormatting>
  <conditionalFormatting sqref="C8:C9">
    <cfRule type="cellIs" dxfId="221" priority="19" stopIfTrue="1" operator="equal">
      <formula>15</formula>
    </cfRule>
  </conditionalFormatting>
  <conditionalFormatting sqref="C14:C16">
    <cfRule type="cellIs" dxfId="220" priority="13" stopIfTrue="1" operator="equal">
      <formula>30</formula>
    </cfRule>
  </conditionalFormatting>
  <conditionalFormatting sqref="D5:D7">
    <cfRule type="cellIs" dxfId="219" priority="10" stopIfTrue="1" operator="equal">
      <formula>25</formula>
    </cfRule>
  </conditionalFormatting>
  <conditionalFormatting sqref="D8:D9">
    <cfRule type="cellIs" dxfId="218" priority="9" stopIfTrue="1" operator="equal">
      <formula>15</formula>
    </cfRule>
  </conditionalFormatting>
  <conditionalFormatting sqref="C10:D13">
    <cfRule type="cellIs" dxfId="217" priority="8" stopIfTrue="1" operator="equal">
      <formula>15</formula>
    </cfRule>
  </conditionalFormatting>
  <conditionalFormatting sqref="D14:D16">
    <cfRule type="cellIs" dxfId="216" priority="6" stopIfTrue="1" operator="equal">
      <formula>30</formula>
    </cfRule>
  </conditionalFormatting>
  <conditionalFormatting sqref="C90">
    <cfRule type="expression" dxfId="215" priority="3" stopIfTrue="1">
      <formula>$H$88&lt;&gt;"仅含出让金"</formula>
    </cfRule>
  </conditionalFormatting>
  <conditionalFormatting sqref="C91">
    <cfRule type="expression" dxfId="214" priority="2" stopIfTrue="1">
      <formula>$H$91="由企业提供"</formula>
    </cfRule>
  </conditionalFormatting>
  <conditionalFormatting sqref="E36">
    <cfRule type="expression" dxfId="213"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D10" sqref="D10"/>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1459</v>
      </c>
      <c r="B1" s="1470" t="s">
        <v>3643</v>
      </c>
      <c r="C1" s="198"/>
      <c r="D1" s="198"/>
      <c r="E1" s="198"/>
      <c r="F1" s="198"/>
      <c r="G1" s="1126">
        <f>MATCH(B1,'数据-取费表'!A6:A16,0)+5</f>
        <v>6</v>
      </c>
    </row>
    <row r="2" spans="1:9" s="200" customFormat="1" ht="18" customHeight="1">
      <c r="A2" s="201" t="s">
        <v>1460</v>
      </c>
      <c r="B2" s="202">
        <f ca="1">IF(D2="——",C52,C52-E2)</f>
        <v>5896</v>
      </c>
      <c r="C2" s="199" t="s">
        <v>1461</v>
      </c>
      <c r="D2" s="1853" t="s">
        <v>43</v>
      </c>
      <c r="E2" s="1169" t="e">
        <f ca="1">SUMIF(INDIRECT("'"&amp;G2&amp;"'"&amp;"!A:A"),"承租人权益价值",INDIRECT("'"&amp;G2&amp;"'"&amp;"!c:c"))</f>
        <v>#REF!</v>
      </c>
      <c r="F2" s="1854" t="s">
        <v>1461</v>
      </c>
      <c r="G2" s="1855"/>
    </row>
    <row r="3" spans="1:9" s="200" customFormat="1" ht="18" customHeight="1" thickBot="1">
      <c r="A3" s="203" t="s">
        <v>1462</v>
      </c>
      <c r="B3" s="204">
        <f ca="1">ROUND(B2*10000/(IF(B1="",'数据-汇总表'!E3,INDIRECT("'数据-取费表'!k"&amp;$G$1))),0)</f>
        <v>50471</v>
      </c>
      <c r="C3" s="199" t="s">
        <v>1463</v>
      </c>
      <c r="D3" s="199"/>
      <c r="E3" s="199"/>
      <c r="F3" s="199"/>
      <c r="G3" s="199"/>
    </row>
    <row r="4" spans="1:9" s="208" customFormat="1" ht="15.75">
      <c r="A4" s="205" t="s">
        <v>1464</v>
      </c>
      <c r="B4" s="206"/>
      <c r="C4" s="206"/>
      <c r="D4" s="206"/>
      <c r="E4" s="206"/>
      <c r="F4" s="206"/>
      <c r="G4" s="207"/>
    </row>
    <row r="5" spans="1:9" s="214" customFormat="1" ht="13.5" customHeight="1">
      <c r="A5" s="255" t="s">
        <v>1465</v>
      </c>
      <c r="B5" s="210" t="s">
        <v>1466</v>
      </c>
      <c r="C5" s="211">
        <f ca="1">C6+C7+C8</f>
        <v>3966</v>
      </c>
      <c r="D5" s="211" t="s">
        <v>1467</v>
      </c>
      <c r="E5" s="212" t="s">
        <v>1468</v>
      </c>
      <c r="F5" s="212" t="s">
        <v>1469</v>
      </c>
      <c r="G5" s="213"/>
    </row>
    <row r="6" spans="1:9" s="214" customFormat="1" ht="13.5" customHeight="1">
      <c r="A6" s="778" t="s">
        <v>1470</v>
      </c>
      <c r="B6" s="215" t="s">
        <v>1471</v>
      </c>
      <c r="C6" s="216">
        <f>基准地价修正!B2</f>
        <v>3826</v>
      </c>
      <c r="D6" s="217"/>
      <c r="E6" s="218"/>
      <c r="F6" s="218"/>
      <c r="G6" s="219"/>
    </row>
    <row r="7" spans="1:9" s="214" customFormat="1" ht="13.5" customHeight="1">
      <c r="A7" s="778" t="s">
        <v>1472</v>
      </c>
      <c r="B7" s="215" t="s">
        <v>1473</v>
      </c>
      <c r="C7" s="220">
        <f>ROUND(C6*F7,0)</f>
        <v>117</v>
      </c>
      <c r="D7" s="220"/>
      <c r="E7" s="218"/>
      <c r="F7" s="221">
        <f>IF(项目基本情况!B8="出让",0,'数据-取费表'!B48+'数据-取费表'!B49)</f>
        <v>3.0499999999999999E-2</v>
      </c>
      <c r="G7" s="219"/>
    </row>
    <row r="8" spans="1:9" s="223" customFormat="1">
      <c r="A8" s="778" t="s">
        <v>1474</v>
      </c>
      <c r="B8" s="215" t="s">
        <v>1475</v>
      </c>
      <c r="C8" s="220">
        <f ca="1">IF(G8="已包含在土地购买价格中","0",IF(B1="",'数据-取费表'!B29,IF(G9="全部缴纳",C9+C10,H9)))</f>
        <v>23</v>
      </c>
      <c r="D8" s="222"/>
      <c r="E8" s="220"/>
      <c r="F8" s="221"/>
      <c r="G8" s="1856" t="s">
        <v>3553</v>
      </c>
    </row>
    <row r="9" spans="1:9" s="214" customFormat="1" ht="13.5" customHeight="1">
      <c r="A9" s="779" t="s">
        <v>355</v>
      </c>
      <c r="B9" s="224" t="s">
        <v>1476</v>
      </c>
      <c r="C9" s="225">
        <f ca="1">ROUND(D9*E9/10000,0)</f>
        <v>0</v>
      </c>
      <c r="D9" s="845">
        <f ca="1">IF(B1="",'数据-汇总表'!E5,IF(INDIRECT("'数据-取费表'!c"&amp;$G$1)="住宅",INDIRECT("'数据-取费表'!k"&amp;$G$1),0))</f>
        <v>0</v>
      </c>
      <c r="E9" s="225">
        <f>'数据-取费表'!B27</f>
        <v>0</v>
      </c>
      <c r="F9" s="221"/>
      <c r="G9" s="1857" t="s">
        <v>3554</v>
      </c>
      <c r="H9" s="1137"/>
      <c r="I9" s="1858" t="s">
        <v>1477</v>
      </c>
    </row>
    <row r="10" spans="1:9" s="214" customFormat="1" ht="13.5" customHeight="1">
      <c r="A10" s="779" t="s">
        <v>356</v>
      </c>
      <c r="B10" s="224" t="s">
        <v>1478</v>
      </c>
      <c r="C10" s="225">
        <f ca="1">ROUND(D10*E10/10000,0)</f>
        <v>23</v>
      </c>
      <c r="D10" s="845">
        <f ca="1">IF(B1="",'数据-汇总表'!E6,IF(INDIRECT("'数据-取费表'!c"&amp;$G$1)="住宅",INDIRECT("'数据-取费表'!s"&amp;$G$1),INDIRECT("'数据-取费表'!k"&amp;$G$1)+INDIRECT("'数据-取费表'!s"&amp;$G$1)))</f>
        <v>1168.2</v>
      </c>
      <c r="E10" s="225">
        <f>'数据-取费表'!B28</f>
        <v>200</v>
      </c>
      <c r="F10" s="221"/>
      <c r="G10" s="226"/>
    </row>
    <row r="11" spans="1:9" s="214" customFormat="1" ht="13.5" hidden="1" customHeight="1">
      <c r="A11" s="227" t="s">
        <v>4</v>
      </c>
      <c r="B11" s="215" t="s">
        <v>1479</v>
      </c>
      <c r="C11" s="211"/>
      <c r="D11" s="847"/>
      <c r="E11" s="218"/>
      <c r="F11" s="218"/>
      <c r="G11" s="219"/>
    </row>
    <row r="12" spans="1:9" s="214" customFormat="1" ht="13.5" hidden="1" customHeight="1">
      <c r="A12" s="227" t="s">
        <v>5</v>
      </c>
      <c r="B12" s="215" t="s">
        <v>1480</v>
      </c>
      <c r="C12" s="211">
        <v>0</v>
      </c>
      <c r="D12" s="847"/>
      <c r="E12" s="228"/>
      <c r="F12" s="221">
        <v>3.0499999999999999E-2</v>
      </c>
      <c r="G12" s="219"/>
    </row>
    <row r="13" spans="1:9" s="214" customFormat="1" ht="13.5" hidden="1" customHeight="1">
      <c r="A13" s="227" t="s">
        <v>6</v>
      </c>
      <c r="B13" s="215" t="s">
        <v>1481</v>
      </c>
      <c r="C13" s="211"/>
      <c r="D13" s="847"/>
      <c r="E13" s="218"/>
      <c r="F13" s="218"/>
      <c r="G13" s="219"/>
    </row>
    <row r="14" spans="1:9" s="214" customFormat="1" ht="13.5" hidden="1" customHeight="1">
      <c r="A14" s="227" t="s">
        <v>7</v>
      </c>
      <c r="B14" s="215" t="s">
        <v>1482</v>
      </c>
      <c r="C14" s="211"/>
      <c r="D14" s="847"/>
      <c r="E14" s="218"/>
      <c r="F14" s="218"/>
      <c r="G14" s="219" t="s">
        <v>1483</v>
      </c>
    </row>
    <row r="15" spans="1:9" s="214" customFormat="1" ht="13.5" hidden="1" customHeight="1">
      <c r="A15" s="227" t="s">
        <v>8</v>
      </c>
      <c r="B15" s="215" t="s">
        <v>1484</v>
      </c>
      <c r="C15" s="220"/>
      <c r="D15" s="847"/>
      <c r="E15" s="218"/>
      <c r="F15" s="218"/>
      <c r="G15" s="219" t="s">
        <v>1485</v>
      </c>
    </row>
    <row r="16" spans="1:9" s="214" customFormat="1" ht="13.5" hidden="1" customHeight="1">
      <c r="A16" s="227" t="s">
        <v>9</v>
      </c>
      <c r="B16" s="215" t="s">
        <v>1482</v>
      </c>
      <c r="C16" s="220"/>
      <c r="D16" s="847"/>
      <c r="E16" s="218"/>
      <c r="F16" s="218"/>
      <c r="G16" s="219"/>
    </row>
    <row r="17" spans="1:7" s="214" customFormat="1" ht="13.5" hidden="1" customHeight="1">
      <c r="A17" s="227" t="s">
        <v>10</v>
      </c>
      <c r="B17" s="215" t="s">
        <v>1486</v>
      </c>
      <c r="C17" s="229"/>
      <c r="D17" s="848"/>
      <c r="E17" s="229"/>
      <c r="F17" s="229"/>
      <c r="G17" s="219" t="s">
        <v>1485</v>
      </c>
    </row>
    <row r="18" spans="1:7" s="214" customFormat="1" ht="13.5" hidden="1" customHeight="1">
      <c r="A18" s="227" t="s">
        <v>11</v>
      </c>
      <c r="B18" s="215" t="s">
        <v>1487</v>
      </c>
      <c r="C18" s="220">
        <v>0</v>
      </c>
      <c r="D18" s="847"/>
      <c r="E18" s="218"/>
      <c r="F18" s="221">
        <v>3.0499999999999999E-2</v>
      </c>
      <c r="G18" s="219" t="s">
        <v>1488</v>
      </c>
    </row>
    <row r="19" spans="1:7" s="223" customFormat="1" ht="13.5" customHeight="1">
      <c r="A19" s="255" t="s">
        <v>1489</v>
      </c>
      <c r="B19" s="210" t="s">
        <v>1490</v>
      </c>
      <c r="C19" s="211" t="str">
        <f>IF(G19="已包含在土地取得成本中","0",ROUND(D19*E19/10000,0))</f>
        <v>0</v>
      </c>
      <c r="D19" s="849">
        <f ca="1">D9+D10</f>
        <v>1168.2</v>
      </c>
      <c r="E19" s="211">
        <f>'数据-取费表'!B31</f>
        <v>200</v>
      </c>
      <c r="F19" s="231"/>
      <c r="G19" s="1856" t="s">
        <v>3555</v>
      </c>
    </row>
    <row r="20" spans="1:7" s="214" customFormat="1" ht="13.5" customHeight="1">
      <c r="A20" s="255" t="s">
        <v>1491</v>
      </c>
      <c r="B20" s="210" t="s">
        <v>1492</v>
      </c>
      <c r="C20" s="232">
        <f ca="1">ROUND((C5+C19)*F20,0)</f>
        <v>79</v>
      </c>
      <c r="D20" s="232"/>
      <c r="E20" s="232"/>
      <c r="F20" s="233">
        <f>'数据-取费表'!B37</f>
        <v>0.02</v>
      </c>
      <c r="G20" s="234" t="s">
        <v>1493</v>
      </c>
    </row>
    <row r="21" spans="1:7" s="214" customFormat="1" ht="13.5" customHeight="1">
      <c r="A21" s="255" t="s">
        <v>1494</v>
      </c>
      <c r="B21" s="210" t="s">
        <v>1495</v>
      </c>
      <c r="C21" s="235">
        <f>F21</f>
        <v>0.02</v>
      </c>
      <c r="D21" s="236" t="s">
        <v>1496</v>
      </c>
      <c r="E21" s="232"/>
      <c r="F21" s="233">
        <f>'数据-取费表'!B38</f>
        <v>0.02</v>
      </c>
      <c r="G21" s="234" t="s">
        <v>1497</v>
      </c>
    </row>
    <row r="22" spans="1:7" s="214" customFormat="1" ht="13.5" customHeight="1">
      <c r="A22" s="255" t="s">
        <v>1498</v>
      </c>
      <c r="B22" s="210" t="s">
        <v>1499</v>
      </c>
      <c r="C22" s="1104">
        <f ca="1">ROUND(SUM(C23:C25),0)</f>
        <v>281</v>
      </c>
      <c r="D22" s="235">
        <f ca="1">C26</f>
        <v>6.9999999999999999E-4</v>
      </c>
      <c r="E22" s="236" t="s">
        <v>1496</v>
      </c>
      <c r="F22" s="237">
        <f ca="1">'数据-取费表'!B40</f>
        <v>3.4500000000000003E-2</v>
      </c>
      <c r="G22" s="234" t="str">
        <f>IF('数据-取费表'!B22&lt;=1,"单利计息","复利计息")</f>
        <v>复利计息</v>
      </c>
    </row>
    <row r="23" spans="1:7" s="214" customFormat="1" ht="13.5" customHeight="1">
      <c r="A23" s="780" t="s">
        <v>1500</v>
      </c>
      <c r="B23" s="215" t="s">
        <v>1501</v>
      </c>
      <c r="C23" s="1105">
        <f ca="1">ROUND(IF('数据-取费表'!B22&lt;=1,C5*F22*'数据-取费表'!B23,C5*(POWER((1+F22),'数据-取费表'!B23)-1)),0)</f>
        <v>278</v>
      </c>
      <c r="D23" s="238"/>
      <c r="E23" s="238"/>
      <c r="F23" s="239"/>
      <c r="G23" s="240" t="s">
        <v>1502</v>
      </c>
    </row>
    <row r="24" spans="1:7" s="214" customFormat="1" ht="13.5" customHeight="1">
      <c r="A24" s="780" t="s">
        <v>1503</v>
      </c>
      <c r="B24" s="215" t="s">
        <v>1504</v>
      </c>
      <c r="C24" s="1105">
        <f ca="1">ROUND(IF('数据-取费表'!B22&lt;=1,C19*F22*('数据-取费表'!B19/2+'数据-取费表'!B21),C19*(POWER((1+F22),('数据-取费表'!B19/2+'数据-取费表'!B21))-1)),0)</f>
        <v>0</v>
      </c>
      <c r="D24" s="238"/>
      <c r="E24" s="238"/>
      <c r="F24" s="239"/>
      <c r="G24" s="240" t="s">
        <v>1505</v>
      </c>
    </row>
    <row r="25" spans="1:7" s="214" customFormat="1" ht="24">
      <c r="A25" s="780" t="s">
        <v>1506</v>
      </c>
      <c r="B25" s="215" t="s">
        <v>1507</v>
      </c>
      <c r="C25" s="1105">
        <f ca="1">ROUND(IF('数据-取费表'!B22&lt;=1,C20*F22*'数据-取费表'!B23/2,C20*(POWER((1+F22),'数据-取费表'!B23/2)-1)),0)</f>
        <v>3</v>
      </c>
      <c r="D25" s="238"/>
      <c r="E25" s="241"/>
      <c r="F25" s="239"/>
      <c r="G25" s="242" t="s">
        <v>1508</v>
      </c>
    </row>
    <row r="26" spans="1:7" s="214" customFormat="1">
      <c r="A26" s="780" t="s">
        <v>350</v>
      </c>
      <c r="B26" s="215" t="s">
        <v>1509</v>
      </c>
      <c r="C26" s="238">
        <f ca="1">ROUND(IF('数据-取费表'!B22&lt;=1,F21*F22*'数据-取费表'!B23/2,F21*(POWER((1+F22),'数据-取费表'!B23/2)-1)),4)</f>
        <v>6.9999999999999999E-4</v>
      </c>
      <c r="D26" s="238"/>
      <c r="E26" s="241"/>
      <c r="F26" s="239"/>
      <c r="G26" s="243"/>
    </row>
    <row r="27" spans="1:7" s="214" customFormat="1" ht="24.75">
      <c r="A27" s="255" t="s">
        <v>1510</v>
      </c>
      <c r="B27" s="244" t="s">
        <v>1511</v>
      </c>
      <c r="C27" s="245">
        <f ca="1">C28</f>
        <v>607</v>
      </c>
      <c r="D27" s="235">
        <f ca="1">C29</f>
        <v>3.0000000000000001E-3</v>
      </c>
      <c r="E27" s="236" t="s">
        <v>1512</v>
      </c>
      <c r="F27" s="246">
        <f ca="1">IF(B1="",'数据-取费表'!Q16,INDIRECT("'数据-取费表'!q"&amp;$G$1))</f>
        <v>0.15</v>
      </c>
      <c r="G27" s="247" t="s">
        <v>1513</v>
      </c>
    </row>
    <row r="28" spans="1:7" s="214" customFormat="1" ht="13.5" customHeight="1">
      <c r="A28" s="780" t="s">
        <v>346</v>
      </c>
      <c r="B28" s="248" t="s">
        <v>1514</v>
      </c>
      <c r="C28" s="249">
        <f ca="1">ROUND((C5+C19+C20)*F27*'数据-取费表'!B21/'数据-取费表'!B20,0)</f>
        <v>607</v>
      </c>
      <c r="D28" s="235"/>
      <c r="E28" s="236"/>
      <c r="F28" s="246"/>
      <c r="G28" s="247"/>
    </row>
    <row r="29" spans="1:7" s="214" customFormat="1" ht="13.5" customHeight="1">
      <c r="A29" s="780" t="s">
        <v>347</v>
      </c>
      <c r="B29" s="248" t="s">
        <v>1515</v>
      </c>
      <c r="C29" s="238">
        <f ca="1">ROUND(C21*F27*'数据-取费表'!B21/'数据-取费表'!B20,4)</f>
        <v>3.0000000000000001E-3</v>
      </c>
      <c r="D29" s="235"/>
      <c r="E29" s="236"/>
      <c r="F29" s="246"/>
      <c r="G29" s="247"/>
    </row>
    <row r="30" spans="1:7" s="214" customFormat="1" ht="13.5" customHeight="1">
      <c r="A30" s="255" t="s">
        <v>1516</v>
      </c>
      <c r="B30" s="210" t="s">
        <v>1517</v>
      </c>
      <c r="C30" s="235">
        <f>ROUND(F30/(1+'数据-取费表'!C42),4)</f>
        <v>5.33E-2</v>
      </c>
      <c r="D30" s="236" t="s">
        <v>1512</v>
      </c>
      <c r="E30" s="241"/>
      <c r="F30" s="237">
        <f>'数据-取费表'!B41</f>
        <v>5.6000000000000001E-2</v>
      </c>
      <c r="G30" s="234" t="s">
        <v>1518</v>
      </c>
    </row>
    <row r="31" spans="1:7" ht="16.5" customHeight="1">
      <c r="A31" s="209">
        <v>1</v>
      </c>
      <c r="B31" s="210" t="s">
        <v>1519</v>
      </c>
      <c r="C31" s="211">
        <f ca="1">ROUND((C5+C19+C20+C22+C27)/(1-C21-D22-D27-C30),0)</f>
        <v>5345</v>
      </c>
      <c r="D31" s="230"/>
      <c r="E31" s="211"/>
      <c r="F31" s="250"/>
      <c r="G31" s="234" t="s">
        <v>1520</v>
      </c>
    </row>
    <row r="32" spans="1:7" s="208" customFormat="1" ht="15.75">
      <c r="A32" s="252" t="s">
        <v>1521</v>
      </c>
      <c r="B32" s="253"/>
      <c r="C32" s="253"/>
      <c r="D32" s="253"/>
      <c r="E32" s="253"/>
      <c r="F32" s="253"/>
      <c r="G32" s="254"/>
    </row>
    <row r="33" spans="1:7" s="214" customFormat="1" ht="13.5" customHeight="1">
      <c r="A33" s="255" t="s">
        <v>337</v>
      </c>
      <c r="B33" s="210" t="s">
        <v>1522</v>
      </c>
      <c r="C33" s="256">
        <f ca="1">SUM(C34:C38)</f>
        <v>648</v>
      </c>
      <c r="D33" s="232"/>
      <c r="E33" s="212"/>
      <c r="F33" s="241"/>
      <c r="G33" s="234"/>
    </row>
    <row r="34" spans="1:7" s="258" customFormat="1" ht="13.5" customHeight="1">
      <c r="A34" s="780" t="s">
        <v>346</v>
      </c>
      <c r="B34" s="215" t="s">
        <v>1523</v>
      </c>
      <c r="C34" s="220">
        <f ca="1">IF(B1="",IF(F34=100%,'数据-取费表'!M16,'数据-取费表'!O16),IF(F34=100%,INDIRECT("'数据-取费表'!m"&amp;$G$1)+INDIRECT("'数据-取费表'!t"&amp;$G$1),INDIRECT("'数据-取费表'!o"&amp;$G$1)+INDIRECT("'数据-取费表'!aq"&amp;$G$1)))</f>
        <v>584</v>
      </c>
      <c r="D34" s="217"/>
      <c r="E34" s="220"/>
      <c r="F34" s="257">
        <f ca="1">IF('数据-取费表'!B24=0,1,IF(B1="",'数据-取费表'!N16,INDIRECT("'数据-取费表'!n"&amp;$G$1)))</f>
        <v>1</v>
      </c>
      <c r="G34" s="219" t="s">
        <v>1524</v>
      </c>
    </row>
    <row r="35" spans="1:7" ht="13.5" customHeight="1">
      <c r="A35" s="780" t="s">
        <v>351</v>
      </c>
      <c r="B35" s="215" t="s">
        <v>1525</v>
      </c>
      <c r="C35" s="220">
        <f ca="1">ROUND(C34*F35,0)</f>
        <v>29</v>
      </c>
      <c r="D35" s="220"/>
      <c r="E35" s="220"/>
      <c r="F35" s="259">
        <f>'数据-取费表'!B33</f>
        <v>0.05</v>
      </c>
      <c r="G35" s="219" t="s">
        <v>1526</v>
      </c>
    </row>
    <row r="36" spans="1:7" ht="24">
      <c r="A36" s="780" t="s">
        <v>352</v>
      </c>
      <c r="B36" s="215" t="s">
        <v>1527</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1528</v>
      </c>
    </row>
    <row r="37" spans="1:7" s="258" customFormat="1" ht="13.5" customHeight="1">
      <c r="A37" s="780" t="s">
        <v>353</v>
      </c>
      <c r="B37" s="215" t="s">
        <v>1529</v>
      </c>
      <c r="C37" s="249">
        <f ca="1">ROUND(E37*D37*F34/10000,0)</f>
        <v>23</v>
      </c>
      <c r="D37" s="217">
        <f ca="1">D19</f>
        <v>1168.2</v>
      </c>
      <c r="E37" s="249">
        <f>'数据-取费表'!B35</f>
        <v>200</v>
      </c>
      <c r="F37" s="259"/>
      <c r="G37" s="261" t="s">
        <v>1530</v>
      </c>
    </row>
    <row r="38" spans="1:7" ht="13.5" customHeight="1">
      <c r="A38" s="780" t="s">
        <v>354</v>
      </c>
      <c r="B38" s="215" t="s">
        <v>1531</v>
      </c>
      <c r="C38" s="220">
        <f ca="1">ROUND(C34*F38,0)</f>
        <v>12</v>
      </c>
      <c r="D38" s="220"/>
      <c r="E38" s="220"/>
      <c r="F38" s="259">
        <f>'数据-取费表'!B36</f>
        <v>0.02</v>
      </c>
      <c r="G38" s="219" t="s">
        <v>1526</v>
      </c>
    </row>
    <row r="39" spans="1:7" s="214" customFormat="1" ht="13.5" customHeight="1">
      <c r="A39" s="255" t="s">
        <v>1532</v>
      </c>
      <c r="B39" s="210" t="s">
        <v>1533</v>
      </c>
      <c r="C39" s="232">
        <f ca="1">ROUND(C33*F20,0)</f>
        <v>13</v>
      </c>
      <c r="D39" s="232"/>
      <c r="E39" s="232"/>
      <c r="F39" s="233">
        <f>F20</f>
        <v>0.02</v>
      </c>
      <c r="G39" s="234" t="s">
        <v>1534</v>
      </c>
    </row>
    <row r="40" spans="1:7" s="214" customFormat="1" ht="13.5" customHeight="1">
      <c r="A40" s="255" t="s">
        <v>1535</v>
      </c>
      <c r="B40" s="210" t="s">
        <v>1536</v>
      </c>
      <c r="C40" s="1327">
        <f>F21</f>
        <v>0.02</v>
      </c>
      <c r="D40" s="236" t="s">
        <v>1537</v>
      </c>
      <c r="E40" s="232"/>
      <c r="F40" s="233">
        <f>F21</f>
        <v>0.02</v>
      </c>
      <c r="G40" s="234" t="s">
        <v>1538</v>
      </c>
    </row>
    <row r="41" spans="1:7" s="214" customFormat="1" ht="13.5" customHeight="1">
      <c r="A41" s="255" t="s">
        <v>1539</v>
      </c>
      <c r="B41" s="210" t="s">
        <v>1540</v>
      </c>
      <c r="C41" s="232">
        <f ca="1">ROUND(SUM(C42:C43),0)</f>
        <v>22</v>
      </c>
      <c r="D41" s="235">
        <f ca="1">C44</f>
        <v>6.9999999999999999E-4</v>
      </c>
      <c r="E41" s="236" t="s">
        <v>1537</v>
      </c>
      <c r="F41" s="237">
        <f ca="1">F22</f>
        <v>3.4500000000000003E-2</v>
      </c>
      <c r="G41" s="234" t="str">
        <f>IF('数据-取费表'!B22&lt;=1,"单利计息","复利计息")</f>
        <v>复利计息</v>
      </c>
    </row>
    <row r="42" spans="1:7" ht="13.5" customHeight="1">
      <c r="A42" s="780" t="s">
        <v>346</v>
      </c>
      <c r="B42" s="215" t="s">
        <v>1541</v>
      </c>
      <c r="C42" s="238">
        <f ca="1">ROUND(IF('数据-取费表'!B22&lt;=1,C33*F22*'数据-取费表'!B21/2,C33*(POWER((1+F22),'数据-取费表'!B21/2)-1)),0)</f>
        <v>22</v>
      </c>
      <c r="D42" s="238"/>
      <c r="E42" s="238"/>
      <c r="F42" s="239"/>
      <c r="G42" s="3850" t="s">
        <v>1542</v>
      </c>
    </row>
    <row r="43" spans="1:7" ht="13.5" customHeight="1">
      <c r="A43" s="780" t="s">
        <v>347</v>
      </c>
      <c r="B43" s="215" t="s">
        <v>1543</v>
      </c>
      <c r="C43" s="238">
        <f ca="1">ROUND(IF('数据-取费表'!B22&lt;=1,C39*F22*'数据-取费表'!B21/2,C39*(POWER((1+F22),'数据-取费表'!B21/2)-1)),0)</f>
        <v>0</v>
      </c>
      <c r="D43" s="238"/>
      <c r="E43" s="238"/>
      <c r="F43" s="239"/>
      <c r="G43" s="3851"/>
    </row>
    <row r="44" spans="1:7" ht="13.5" customHeight="1">
      <c r="A44" s="780" t="s">
        <v>348</v>
      </c>
      <c r="B44" s="215" t="s">
        <v>1544</v>
      </c>
      <c r="C44" s="238">
        <f ca="1">ROUND(IF('数据-取费表'!B22&lt;=1,C40*F22*'数据-取费表'!B21/2,C40*(POWER((1+F22),'数据-取费表'!B21/2)-1)),4)</f>
        <v>6.9999999999999999E-4</v>
      </c>
      <c r="D44" s="238"/>
      <c r="E44" s="238"/>
      <c r="F44" s="239"/>
      <c r="G44" s="3852"/>
    </row>
    <row r="45" spans="1:7" s="214" customFormat="1" ht="13.5" customHeight="1">
      <c r="A45" s="255" t="s">
        <v>1545</v>
      </c>
      <c r="B45" s="244" t="s">
        <v>1511</v>
      </c>
      <c r="C45" s="245">
        <f ca="1">C46</f>
        <v>99</v>
      </c>
      <c r="D45" s="235">
        <f ca="1">C47</f>
        <v>3.0000000000000001E-3</v>
      </c>
      <c r="E45" s="236" t="s">
        <v>1537</v>
      </c>
      <c r="F45" s="246">
        <f ca="1">F27</f>
        <v>0.15</v>
      </c>
      <c r="G45" s="247" t="s">
        <v>1546</v>
      </c>
    </row>
    <row r="46" spans="1:7" s="214" customFormat="1" ht="13.5" customHeight="1">
      <c r="A46" s="780" t="s">
        <v>346</v>
      </c>
      <c r="B46" s="248" t="s">
        <v>1547</v>
      </c>
      <c r="C46" s="249">
        <f ca="1">ROUND((C33+C39)*F27,0)</f>
        <v>99</v>
      </c>
      <c r="D46" s="263"/>
      <c r="E46" s="236"/>
      <c r="F46" s="246"/>
      <c r="G46" s="247"/>
    </row>
    <row r="47" spans="1:7" s="214" customFormat="1" ht="13.5" customHeight="1">
      <c r="A47" s="780" t="s">
        <v>347</v>
      </c>
      <c r="B47" s="248" t="s">
        <v>1548</v>
      </c>
      <c r="C47" s="238">
        <f ca="1">ROUND(C40*F27,4)</f>
        <v>3.0000000000000001E-3</v>
      </c>
      <c r="D47" s="263"/>
      <c r="E47" s="236"/>
      <c r="F47" s="246"/>
      <c r="G47" s="247"/>
    </row>
    <row r="48" spans="1:7" s="214" customFormat="1" ht="13.5" customHeight="1">
      <c r="A48" s="255" t="s">
        <v>1510</v>
      </c>
      <c r="B48" s="210" t="s">
        <v>1549</v>
      </c>
      <c r="C48" s="1327">
        <f>ROUND(F30/(1+'数据-取费表'!C42),4)</f>
        <v>5.33E-2</v>
      </c>
      <c r="D48" s="236" t="s">
        <v>1537</v>
      </c>
      <c r="E48" s="232"/>
      <c r="F48" s="237">
        <f>F30</f>
        <v>5.6000000000000001E-2</v>
      </c>
      <c r="G48" s="234" t="s">
        <v>1550</v>
      </c>
    </row>
    <row r="49" spans="1:7" ht="16.5" customHeight="1">
      <c r="A49" s="255" t="s">
        <v>1516</v>
      </c>
      <c r="B49" s="210" t="s">
        <v>1551</v>
      </c>
      <c r="C49" s="232">
        <f ca="1">ROUND((C33+C39+C41+C45)/(1-C40-D41-D45-C48),0)</f>
        <v>847</v>
      </c>
      <c r="D49" s="232"/>
      <c r="E49" s="232"/>
      <c r="F49" s="264"/>
      <c r="G49" s="234" t="s">
        <v>1552</v>
      </c>
    </row>
    <row r="50" spans="1:7" s="258" customFormat="1" ht="24">
      <c r="A50" s="255" t="s">
        <v>1553</v>
      </c>
      <c r="B50" s="210" t="s">
        <v>1554</v>
      </c>
      <c r="C50" s="232"/>
      <c r="D50" s="232"/>
      <c r="E50" s="232"/>
      <c r="F50" s="264">
        <f>IF('数据-取费表'!B24=0,'数据-取费表'!N16,1)</f>
        <v>0.65</v>
      </c>
      <c r="G50" s="247" t="s">
        <v>1555</v>
      </c>
    </row>
    <row r="51" spans="1:7" ht="16.5" customHeight="1">
      <c r="A51" s="255" t="s">
        <v>1556</v>
      </c>
      <c r="B51" s="210" t="s">
        <v>1557</v>
      </c>
      <c r="C51" s="232">
        <f ca="1">ROUND(C49*F50,0)</f>
        <v>551</v>
      </c>
      <c r="D51" s="232"/>
      <c r="E51" s="232"/>
      <c r="F51" s="264"/>
      <c r="G51" s="234" t="s">
        <v>1558</v>
      </c>
    </row>
    <row r="52" spans="1:7" s="208" customFormat="1" ht="16.5" thickBot="1">
      <c r="A52" s="265" t="s">
        <v>1559</v>
      </c>
      <c r="B52" s="266"/>
      <c r="C52" s="267">
        <f ca="1">C31+C51</f>
        <v>5896</v>
      </c>
      <c r="D52" s="266"/>
      <c r="E52" s="266"/>
      <c r="F52" s="266"/>
      <c r="G52" s="268"/>
    </row>
    <row r="55" spans="1:7" ht="15">
      <c r="B55" s="270" t="s">
        <v>1560</v>
      </c>
      <c r="C55" s="271"/>
    </row>
    <row r="56" spans="1:7">
      <c r="B56" s="273" t="s">
        <v>800</v>
      </c>
      <c r="C56" s="275">
        <f ca="1">1-C57</f>
        <v>0.90700000000000003</v>
      </c>
    </row>
    <row r="57" spans="1:7">
      <c r="B57" s="273" t="s">
        <v>801</v>
      </c>
      <c r="C57" s="274">
        <f ca="1">ROUND(C51/C52,3)</f>
        <v>9.2999999999999999E-2</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1459</v>
      </c>
      <c r="B1" s="1470"/>
      <c r="C1" s="1859" t="s">
        <v>1561</v>
      </c>
      <c r="D1" s="198"/>
      <c r="E1" s="198"/>
      <c r="F1" s="198"/>
      <c r="G1" s="1126">
        <f>MATCH(B1,'数据-取费表'!A6:A16,0)+5</f>
        <v>8</v>
      </c>
      <c r="H1" s="1061" t="str">
        <f>IF(ISERROR(FIND("住宅",B1)),"非住宅","住宅")</f>
        <v>非住宅</v>
      </c>
    </row>
    <row r="2" spans="1:8" s="200" customFormat="1" ht="18" customHeight="1">
      <c r="A2" s="201" t="s">
        <v>1460</v>
      </c>
      <c r="B2" s="3424">
        <f ca="1">ROUND(IF(D2="——",C52/10000,C52/10000-E2),4)</f>
        <v>9706.1972999999998</v>
      </c>
      <c r="C2" s="199" t="s">
        <v>1461</v>
      </c>
      <c r="D2" s="1853" t="s">
        <v>43</v>
      </c>
      <c r="E2" s="1169" t="e">
        <f ca="1">SUMIF(INDIRECT("'"&amp;G2&amp;"'"&amp;"!A:A"),"承租人权益价值",INDIRECT("'"&amp;G2&amp;"'"&amp;"!c:c"))</f>
        <v>#REF!</v>
      </c>
      <c r="F2" s="1854" t="s">
        <v>1461</v>
      </c>
      <c r="G2" s="1855"/>
    </row>
    <row r="3" spans="1:8" s="200" customFormat="1" ht="18" customHeight="1" thickBot="1">
      <c r="A3" s="203" t="s">
        <v>1462</v>
      </c>
      <c r="B3" s="204">
        <f ca="1">ROUND(B2*10000/(IF(B1="",'数据-汇总表'!E3,INDIRECT("'数据-取费表'!k"&amp;$G$1))),0)</f>
        <v>5261</v>
      </c>
      <c r="C3" s="199" t="s">
        <v>1463</v>
      </c>
      <c r="D3" s="199"/>
      <c r="E3" s="199"/>
      <c r="F3" s="199"/>
      <c r="G3" s="199"/>
    </row>
    <row r="4" spans="1:8" s="208" customFormat="1" ht="15.75">
      <c r="A4" s="205" t="s">
        <v>1464</v>
      </c>
      <c r="B4" s="206"/>
      <c r="C4" s="206"/>
      <c r="D4" s="206"/>
      <c r="E4" s="206"/>
      <c r="F4" s="206"/>
      <c r="G4" s="207"/>
    </row>
    <row r="5" spans="1:8" s="214" customFormat="1" ht="13.5" customHeight="1">
      <c r="A5" s="255" t="s">
        <v>1465</v>
      </c>
      <c r="B5" s="210" t="s">
        <v>1466</v>
      </c>
      <c r="C5" s="211">
        <f ca="1">C6+C7+C8</f>
        <v>3689720</v>
      </c>
      <c r="D5" s="211" t="s">
        <v>1467</v>
      </c>
      <c r="E5" s="212" t="s">
        <v>1468</v>
      </c>
      <c r="F5" s="212" t="s">
        <v>1469</v>
      </c>
      <c r="G5" s="213"/>
    </row>
    <row r="6" spans="1:8" s="214" customFormat="1" ht="13.5" customHeight="1">
      <c r="A6" s="778" t="s">
        <v>1470</v>
      </c>
      <c r="B6" s="215" t="s">
        <v>1471</v>
      </c>
      <c r="C6" s="216"/>
      <c r="D6" s="217"/>
      <c r="E6" s="218"/>
      <c r="F6" s="218"/>
      <c r="G6" s="219"/>
    </row>
    <row r="7" spans="1:8" s="214" customFormat="1" ht="13.5" customHeight="1">
      <c r="A7" s="778" t="s">
        <v>1472</v>
      </c>
      <c r="B7" s="215" t="s">
        <v>1473</v>
      </c>
      <c r="C7" s="220">
        <f>ROUND(C6*F7,0)</f>
        <v>0</v>
      </c>
      <c r="D7" s="220"/>
      <c r="E7" s="218"/>
      <c r="F7" s="221">
        <f>IF(项目基本情况!B8="出让",0,'数据-取费表'!B48+'数据-取费表'!B49)</f>
        <v>3.0499999999999999E-2</v>
      </c>
      <c r="G7" s="219"/>
    </row>
    <row r="8" spans="1:8" s="223" customFormat="1">
      <c r="A8" s="778" t="s">
        <v>1474</v>
      </c>
      <c r="B8" s="215" t="s">
        <v>1475</v>
      </c>
      <c r="C8" s="220">
        <f ca="1">IF(G8="已包含在土地购买价格中",0,C9+C10)</f>
        <v>3689720</v>
      </c>
      <c r="D8" s="222"/>
      <c r="E8" s="220"/>
      <c r="F8" s="221"/>
      <c r="G8" s="1856"/>
    </row>
    <row r="9" spans="1:8" s="214" customFormat="1" ht="13.5" customHeight="1">
      <c r="A9" s="779" t="s">
        <v>355</v>
      </c>
      <c r="B9" s="224" t="s">
        <v>1476</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1478</v>
      </c>
      <c r="C10" s="225">
        <f ca="1">ROUND(D10*E10,0)</f>
        <v>3689720</v>
      </c>
      <c r="D10" s="845">
        <f ca="1">IF(B1="",'数据-汇总表'!E6,IF(INDIRECT("'数据-取费表'!c"&amp;$G$1)="住宅",INDIRECT("'数据-取费表'!s"&amp;$G$1),INDIRECT("'数据-取费表'!k"&amp;$G$1)+INDIRECT("'数据-取费表'!s"&amp;$G$1)))</f>
        <v>18448.600000000002</v>
      </c>
      <c r="E10" s="225">
        <f>'数据-取费表'!B28</f>
        <v>200</v>
      </c>
      <c r="F10" s="221"/>
      <c r="G10" s="226"/>
    </row>
    <row r="11" spans="1:8" s="214" customFormat="1" ht="13.5" hidden="1" customHeight="1">
      <c r="A11" s="227" t="s">
        <v>4</v>
      </c>
      <c r="B11" s="215" t="s">
        <v>1479</v>
      </c>
      <c r="C11" s="211"/>
      <c r="D11" s="847"/>
      <c r="E11" s="218"/>
      <c r="F11" s="218"/>
      <c r="G11" s="219"/>
    </row>
    <row r="12" spans="1:8" s="214" customFormat="1" ht="13.5" hidden="1" customHeight="1">
      <c r="A12" s="227" t="s">
        <v>5</v>
      </c>
      <c r="B12" s="215" t="s">
        <v>1562</v>
      </c>
      <c r="C12" s="211">
        <v>0</v>
      </c>
      <c r="D12" s="847"/>
      <c r="E12" s="228"/>
      <c r="F12" s="221">
        <v>3.0499999999999999E-2</v>
      </c>
      <c r="G12" s="219"/>
    </row>
    <row r="13" spans="1:8" s="214" customFormat="1" ht="13.5" hidden="1" customHeight="1">
      <c r="A13" s="227" t="s">
        <v>6</v>
      </c>
      <c r="B13" s="215" t="s">
        <v>1563</v>
      </c>
      <c r="C13" s="211"/>
      <c r="D13" s="847"/>
      <c r="E13" s="218"/>
      <c r="F13" s="218"/>
      <c r="G13" s="219"/>
    </row>
    <row r="14" spans="1:8" s="214" customFormat="1" ht="13.5" hidden="1" customHeight="1">
      <c r="A14" s="227" t="s">
        <v>7</v>
      </c>
      <c r="B14" s="215" t="s">
        <v>1475</v>
      </c>
      <c r="C14" s="211"/>
      <c r="D14" s="847"/>
      <c r="E14" s="218"/>
      <c r="F14" s="218"/>
      <c r="G14" s="219" t="s">
        <v>1564</v>
      </c>
    </row>
    <row r="15" spans="1:8" s="214" customFormat="1" ht="13.5" hidden="1" customHeight="1">
      <c r="A15" s="227" t="s">
        <v>8</v>
      </c>
      <c r="B15" s="215" t="s">
        <v>1565</v>
      </c>
      <c r="C15" s="220"/>
      <c r="D15" s="847"/>
      <c r="E15" s="218"/>
      <c r="F15" s="218"/>
      <c r="G15" s="219" t="s">
        <v>1566</v>
      </c>
    </row>
    <row r="16" spans="1:8" s="214" customFormat="1" ht="13.5" hidden="1" customHeight="1">
      <c r="A16" s="227" t="s">
        <v>9</v>
      </c>
      <c r="B16" s="215" t="s">
        <v>1475</v>
      </c>
      <c r="C16" s="220"/>
      <c r="D16" s="847"/>
      <c r="E16" s="218"/>
      <c r="F16" s="218"/>
      <c r="G16" s="219"/>
    </row>
    <row r="17" spans="1:7" s="214" customFormat="1" ht="13.5" hidden="1" customHeight="1">
      <c r="A17" s="227" t="s">
        <v>10</v>
      </c>
      <c r="B17" s="215" t="s">
        <v>1567</v>
      </c>
      <c r="C17" s="229"/>
      <c r="D17" s="848"/>
      <c r="E17" s="229"/>
      <c r="F17" s="229"/>
      <c r="G17" s="219" t="s">
        <v>1566</v>
      </c>
    </row>
    <row r="18" spans="1:7" s="214" customFormat="1" ht="13.5" hidden="1" customHeight="1">
      <c r="A18" s="227" t="s">
        <v>11</v>
      </c>
      <c r="B18" s="215" t="s">
        <v>1568</v>
      </c>
      <c r="C18" s="220">
        <v>0</v>
      </c>
      <c r="D18" s="847"/>
      <c r="E18" s="218"/>
      <c r="F18" s="221">
        <v>3.0499999999999999E-2</v>
      </c>
      <c r="G18" s="219" t="s">
        <v>1569</v>
      </c>
    </row>
    <row r="19" spans="1:7" s="223" customFormat="1" ht="13.5" customHeight="1">
      <c r="A19" s="255" t="s">
        <v>1570</v>
      </c>
      <c r="B19" s="210" t="s">
        <v>1571</v>
      </c>
      <c r="C19" s="211">
        <f ca="1">IF(G19="已包含在土地取得成本中","0",ROUND(D19*E19,0))</f>
        <v>3689720</v>
      </c>
      <c r="D19" s="849">
        <f ca="1">D9+D10</f>
        <v>18448.600000000002</v>
      </c>
      <c r="E19" s="211">
        <f>'数据-取费表'!B31</f>
        <v>200</v>
      </c>
      <c r="F19" s="231"/>
      <c r="G19" s="1856"/>
    </row>
    <row r="20" spans="1:7" s="214" customFormat="1" ht="13.5" customHeight="1">
      <c r="A20" s="255" t="s">
        <v>1572</v>
      </c>
      <c r="B20" s="210" t="s">
        <v>1573</v>
      </c>
      <c r="C20" s="232">
        <f ca="1">ROUND((C5+C19)*F20,0)</f>
        <v>147589</v>
      </c>
      <c r="D20" s="232"/>
      <c r="E20" s="232"/>
      <c r="F20" s="233">
        <f>'数据-取费表'!B37</f>
        <v>0.02</v>
      </c>
      <c r="G20" s="234" t="s">
        <v>1574</v>
      </c>
    </row>
    <row r="21" spans="1:7" s="214" customFormat="1" ht="13.5" customHeight="1">
      <c r="A21" s="255" t="s">
        <v>1575</v>
      </c>
      <c r="B21" s="210" t="s">
        <v>1576</v>
      </c>
      <c r="C21" s="235">
        <f>F21</f>
        <v>0.02</v>
      </c>
      <c r="D21" s="236" t="s">
        <v>1577</v>
      </c>
      <c r="E21" s="232"/>
      <c r="F21" s="233">
        <f>'数据-取费表'!B38</f>
        <v>0.02</v>
      </c>
      <c r="G21" s="234" t="s">
        <v>1578</v>
      </c>
    </row>
    <row r="22" spans="1:7" s="214" customFormat="1" ht="13.5" customHeight="1">
      <c r="A22" s="255" t="s">
        <v>1579</v>
      </c>
      <c r="B22" s="210" t="s">
        <v>1580</v>
      </c>
      <c r="C22" s="1127">
        <f ca="1">ROUND(SUM(C23:C25),0)</f>
        <v>523056</v>
      </c>
      <c r="D22" s="235">
        <f ca="1">C26</f>
        <v>6.9999999999999999E-4</v>
      </c>
      <c r="E22" s="236" t="s">
        <v>1577</v>
      </c>
      <c r="F22" s="237">
        <f ca="1">'数据-取费表'!B40</f>
        <v>3.4500000000000003E-2</v>
      </c>
      <c r="G22" s="234" t="str">
        <f>IF('数据-取费表'!B22&lt;=1,"单利计息","复利计息")</f>
        <v>复利计息</v>
      </c>
    </row>
    <row r="23" spans="1:7" s="214" customFormat="1" ht="13.5" customHeight="1">
      <c r="A23" s="780" t="s">
        <v>1470</v>
      </c>
      <c r="B23" s="215" t="s">
        <v>1581</v>
      </c>
      <c r="C23" s="1128">
        <f ca="1">ROUND(IF('数据-取费表'!B22&lt;=1,C5*F22*'数据-取费表'!B22,C5*(POWER((1+F22),'数据-取费表'!B22)-1)),0)</f>
        <v>258982</v>
      </c>
      <c r="D23" s="238"/>
      <c r="E23" s="238"/>
      <c r="F23" s="239"/>
      <c r="G23" s="240" t="s">
        <v>1582</v>
      </c>
    </row>
    <row r="24" spans="1:7" s="214" customFormat="1" ht="13.5" customHeight="1">
      <c r="A24" s="780" t="s">
        <v>1472</v>
      </c>
      <c r="B24" s="215" t="s">
        <v>1583</v>
      </c>
      <c r="C24" s="1128">
        <f ca="1">ROUND(IF('数据-取费表'!B22&lt;=1,C19*F22*('数据-取费表'!B19/2+'数据-取费表'!B20),C19*(POWER((1+F22),('数据-取费表'!B19/2+'数据-取费表'!B20))-1)),0)</f>
        <v>258982</v>
      </c>
      <c r="D24" s="238"/>
      <c r="E24" s="238"/>
      <c r="F24" s="239"/>
      <c r="G24" s="240" t="s">
        <v>1584</v>
      </c>
    </row>
    <row r="25" spans="1:7" s="214" customFormat="1" ht="24">
      <c r="A25" s="780" t="s">
        <v>1474</v>
      </c>
      <c r="B25" s="215" t="s">
        <v>1585</v>
      </c>
      <c r="C25" s="1128">
        <f ca="1">ROUND(IF('数据-取费表'!B22&lt;=1,C20*F22*'数据-取费表'!B22/2,C20*(POWER((1+F22),'数据-取费表'!B22/2)-1)),0)</f>
        <v>5092</v>
      </c>
      <c r="D25" s="238"/>
      <c r="E25" s="241"/>
      <c r="F25" s="239"/>
      <c r="G25" s="242" t="s">
        <v>1586</v>
      </c>
    </row>
    <row r="26" spans="1:7" s="214" customFormat="1">
      <c r="A26" s="780" t="s">
        <v>350</v>
      </c>
      <c r="B26" s="215" t="s">
        <v>1509</v>
      </c>
      <c r="C26" s="238">
        <f ca="1">ROUND(IF('数据-取费表'!B22&lt;=1,F21*F22*'数据-取费表'!B22/2,F21*(POWER((1+F22),'数据-取费表'!B22/2)-1)),4)</f>
        <v>6.9999999999999999E-4</v>
      </c>
      <c r="D26" s="238"/>
      <c r="E26" s="241"/>
      <c r="F26" s="239"/>
      <c r="G26" s="243"/>
    </row>
    <row r="27" spans="1:7" s="214" customFormat="1" ht="24.75">
      <c r="A27" s="255" t="s">
        <v>1510</v>
      </c>
      <c r="B27" s="244" t="s">
        <v>1511</v>
      </c>
      <c r="C27" s="245">
        <f ca="1">C28</f>
        <v>1129054</v>
      </c>
      <c r="D27" s="235">
        <f ca="1">C29</f>
        <v>3.0000000000000001E-3</v>
      </c>
      <c r="E27" s="236" t="s">
        <v>1512</v>
      </c>
      <c r="F27" s="246">
        <f ca="1">IF(B1="",'数据-取费表'!Q16,INDIRECT("'数据-取费表'!q"&amp;$G$1))</f>
        <v>0.15</v>
      </c>
      <c r="G27" s="247" t="s">
        <v>1513</v>
      </c>
    </row>
    <row r="28" spans="1:7" s="214" customFormat="1" ht="13.5" customHeight="1">
      <c r="A28" s="780" t="s">
        <v>346</v>
      </c>
      <c r="B28" s="248" t="s">
        <v>1514</v>
      </c>
      <c r="C28" s="249">
        <f ca="1">ROUND((C5+C19+C20)*F27,0)</f>
        <v>1129054</v>
      </c>
      <c r="D28" s="235"/>
      <c r="E28" s="236"/>
      <c r="F28" s="246"/>
      <c r="G28" s="247"/>
    </row>
    <row r="29" spans="1:7" s="214" customFormat="1" ht="13.5" customHeight="1">
      <c r="A29" s="780" t="s">
        <v>347</v>
      </c>
      <c r="B29" s="248" t="s">
        <v>1515</v>
      </c>
      <c r="C29" s="238">
        <f ca="1">ROUND(C21*F27,4)</f>
        <v>3.0000000000000001E-3</v>
      </c>
      <c r="D29" s="235"/>
      <c r="E29" s="236"/>
      <c r="F29" s="246"/>
      <c r="G29" s="247"/>
    </row>
    <row r="30" spans="1:7" s="214" customFormat="1" ht="13.5" customHeight="1">
      <c r="A30" s="255" t="s">
        <v>1516</v>
      </c>
      <c r="B30" s="210" t="s">
        <v>1517</v>
      </c>
      <c r="C30" s="235">
        <f>ROUND(F30/(1+'数据-取费表'!C42),4)</f>
        <v>5.33E-2</v>
      </c>
      <c r="D30" s="236" t="s">
        <v>1512</v>
      </c>
      <c r="E30" s="241"/>
      <c r="F30" s="237">
        <f>'数据-取费表'!B41</f>
        <v>5.6000000000000001E-2</v>
      </c>
      <c r="G30" s="234" t="s">
        <v>1518</v>
      </c>
    </row>
    <row r="31" spans="1:7" ht="16.5" customHeight="1">
      <c r="A31" s="209">
        <v>1</v>
      </c>
      <c r="B31" s="210" t="s">
        <v>1519</v>
      </c>
      <c r="C31" s="211">
        <f ca="1">ROUND((C5+C19+C20+C22+C27)/(1-C21-D22-D27-C30),0)</f>
        <v>9944896</v>
      </c>
      <c r="D31" s="230"/>
      <c r="E31" s="211"/>
      <c r="F31" s="250"/>
      <c r="G31" s="234" t="s">
        <v>1520</v>
      </c>
    </row>
    <row r="32" spans="1:7" s="208" customFormat="1" ht="15.75">
      <c r="A32" s="252" t="s">
        <v>1587</v>
      </c>
      <c r="B32" s="253"/>
      <c r="C32" s="253"/>
      <c r="D32" s="253"/>
      <c r="E32" s="253"/>
      <c r="F32" s="253"/>
      <c r="G32" s="254"/>
    </row>
    <row r="33" spans="1:7" s="214" customFormat="1" ht="13.5" customHeight="1">
      <c r="A33" s="255" t="s">
        <v>337</v>
      </c>
      <c r="B33" s="210" t="s">
        <v>1588</v>
      </c>
      <c r="C33" s="256">
        <f ca="1">SUM(C34:C38)</f>
        <v>102389730</v>
      </c>
      <c r="D33" s="232"/>
      <c r="E33" s="212"/>
      <c r="F33" s="241"/>
      <c r="G33" s="234"/>
    </row>
    <row r="34" spans="1:7" s="258" customFormat="1" ht="13.5" customHeight="1">
      <c r="A34" s="780" t="s">
        <v>346</v>
      </c>
      <c r="B34" s="215" t="s">
        <v>1523</v>
      </c>
      <c r="C34" s="220">
        <f ca="1">ROUND(IF(B1="",SUMPRODUCT('数据-取费表'!K6:K14,'数据-取费表'!L6:L14),INDIRECT("'数据-取费表'!l"&amp;$G$1)*INDIRECT("'数据-取费表'!k"&amp;$G$1)+'数据-取费表'!L14*INDIRECT("'数据-取费表'!S"&amp;$G$1)),0)</f>
        <v>92243000</v>
      </c>
      <c r="D34" s="217"/>
      <c r="E34" s="220"/>
      <c r="F34" s="257"/>
      <c r="G34" s="219"/>
    </row>
    <row r="35" spans="1:7" ht="13.5" customHeight="1">
      <c r="A35" s="780" t="s">
        <v>351</v>
      </c>
      <c r="B35" s="215" t="s">
        <v>1525</v>
      </c>
      <c r="C35" s="220">
        <f ca="1">ROUND(C34*F35,0)</f>
        <v>4612150</v>
      </c>
      <c r="D35" s="220"/>
      <c r="E35" s="220"/>
      <c r="F35" s="259">
        <f>'数据-取费表'!B33</f>
        <v>0.05</v>
      </c>
      <c r="G35" s="219" t="s">
        <v>1526</v>
      </c>
    </row>
    <row r="36" spans="1:7" ht="24">
      <c r="A36" s="780" t="s">
        <v>352</v>
      </c>
      <c r="B36" s="215" t="s">
        <v>1527</v>
      </c>
      <c r="C36" s="220">
        <f ca="1">ROUND(IF(B1="",SUM('数据-取费表'!AP6:AP13)*F36,IF(INDIRECT("'数据-取费表'!c"&amp;$G$1)="住宅",INDIRECT("'数据-取费表'!k"&amp;$G$1)*INDIRECT("'数据-取费表'!l"&amp;$G$1)*F36,0)),0)</f>
        <v>0</v>
      </c>
      <c r="D36" s="220"/>
      <c r="E36" s="220"/>
      <c r="F36" s="259">
        <f>'数据-取费表'!B34</f>
        <v>0</v>
      </c>
      <c r="G36" s="260" t="s">
        <v>1528</v>
      </c>
    </row>
    <row r="37" spans="1:7" s="258" customFormat="1" ht="13.5" customHeight="1">
      <c r="A37" s="780" t="s">
        <v>353</v>
      </c>
      <c r="B37" s="215" t="s">
        <v>1529</v>
      </c>
      <c r="C37" s="249">
        <f ca="1">ROUND(E37*D37,0)</f>
        <v>3689720</v>
      </c>
      <c r="D37" s="217">
        <f ca="1">D19</f>
        <v>18448.600000000002</v>
      </c>
      <c r="E37" s="249">
        <f>'数据-取费表'!B35</f>
        <v>200</v>
      </c>
      <c r="F37" s="259"/>
      <c r="G37" s="261"/>
    </row>
    <row r="38" spans="1:7" ht="13.5" customHeight="1">
      <c r="A38" s="780" t="s">
        <v>354</v>
      </c>
      <c r="B38" s="215" t="s">
        <v>1531</v>
      </c>
      <c r="C38" s="220">
        <f ca="1">ROUND(C34*F38,0)</f>
        <v>1844860</v>
      </c>
      <c r="D38" s="220"/>
      <c r="E38" s="220"/>
      <c r="F38" s="259">
        <f>'数据-取费表'!B36</f>
        <v>0.02</v>
      </c>
      <c r="G38" s="219" t="s">
        <v>1526</v>
      </c>
    </row>
    <row r="39" spans="1:7" s="214" customFormat="1" ht="13.5" customHeight="1">
      <c r="A39" s="255" t="s">
        <v>1532</v>
      </c>
      <c r="B39" s="210" t="s">
        <v>1533</v>
      </c>
      <c r="C39" s="232">
        <f ca="1">ROUND(C33*F20,0)</f>
        <v>2047795</v>
      </c>
      <c r="D39" s="232"/>
      <c r="E39" s="232"/>
      <c r="F39" s="233">
        <f>F20</f>
        <v>0.02</v>
      </c>
      <c r="G39" s="234" t="s">
        <v>1534</v>
      </c>
    </row>
    <row r="40" spans="1:7" s="214" customFormat="1" ht="13.5" customHeight="1">
      <c r="A40" s="255" t="s">
        <v>1535</v>
      </c>
      <c r="B40" s="210" t="s">
        <v>1536</v>
      </c>
      <c r="C40" s="1327">
        <f>F21</f>
        <v>0.02</v>
      </c>
      <c r="D40" s="236" t="s">
        <v>1537</v>
      </c>
      <c r="E40" s="232"/>
      <c r="F40" s="233">
        <f>F21</f>
        <v>0.02</v>
      </c>
      <c r="G40" s="234" t="s">
        <v>1538</v>
      </c>
    </row>
    <row r="41" spans="1:7" s="214" customFormat="1" ht="13.5" customHeight="1">
      <c r="A41" s="255" t="s">
        <v>1539</v>
      </c>
      <c r="B41" s="210" t="s">
        <v>1540</v>
      </c>
      <c r="C41" s="232">
        <f ca="1">ROUND(SUM(C42:C43),0)</f>
        <v>3603095</v>
      </c>
      <c r="D41" s="235">
        <f ca="1">C44</f>
        <v>6.9999999999999999E-4</v>
      </c>
      <c r="E41" s="236" t="s">
        <v>1537</v>
      </c>
      <c r="F41" s="237">
        <f ca="1">F22</f>
        <v>3.4500000000000003E-2</v>
      </c>
      <c r="G41" s="234" t="str">
        <f>IF('数据-取费表'!B22&lt;=1,"单利计息","复利计息")</f>
        <v>复利计息</v>
      </c>
    </row>
    <row r="42" spans="1:7" ht="13.5" customHeight="1">
      <c r="A42" s="780" t="s">
        <v>346</v>
      </c>
      <c r="B42" s="215" t="s">
        <v>1541</v>
      </c>
      <c r="C42" s="238">
        <f ca="1">ROUND(IF('数据-取费表'!B22&lt;=1,C33*F22*'数据-取费表'!B20/2,C33*(POWER((1+F22),'数据-取费表'!B20/2)-1)),0)</f>
        <v>3532446</v>
      </c>
      <c r="D42" s="238"/>
      <c r="E42" s="238"/>
      <c r="F42" s="239"/>
      <c r="G42" s="3850" t="s">
        <v>1589</v>
      </c>
    </row>
    <row r="43" spans="1:7" ht="13.5" customHeight="1">
      <c r="A43" s="780" t="s">
        <v>347</v>
      </c>
      <c r="B43" s="215" t="s">
        <v>1543</v>
      </c>
      <c r="C43" s="238">
        <f ca="1">ROUND(IF('数据-取费表'!B22&lt;=1,C39*F22*'数据-取费表'!B20/2,C39*(POWER((1+F22),'数据-取费表'!B20/2)-1)),0)</f>
        <v>70649</v>
      </c>
      <c r="D43" s="238"/>
      <c r="E43" s="238"/>
      <c r="F43" s="239"/>
      <c r="G43" s="3851"/>
    </row>
    <row r="44" spans="1:7" ht="13.5" customHeight="1">
      <c r="A44" s="780" t="s">
        <v>348</v>
      </c>
      <c r="B44" s="215" t="s">
        <v>1544</v>
      </c>
      <c r="C44" s="238">
        <f ca="1">ROUND(IF('数据-取费表'!B22&lt;=1,C40*F22*'数据-取费表'!B20/2,C40*(POWER((1+F22),'数据-取费表'!B20/2)-1)),4)</f>
        <v>6.9999999999999999E-4</v>
      </c>
      <c r="D44" s="238"/>
      <c r="E44" s="238"/>
      <c r="F44" s="239"/>
      <c r="G44" s="3852"/>
    </row>
    <row r="45" spans="1:7" s="214" customFormat="1" ht="13.5" customHeight="1">
      <c r="A45" s="255" t="s">
        <v>1545</v>
      </c>
      <c r="B45" s="244" t="s">
        <v>1511</v>
      </c>
      <c r="C45" s="245">
        <f ca="1">C46</f>
        <v>15665629</v>
      </c>
      <c r="D45" s="235">
        <f ca="1">C47</f>
        <v>3.0000000000000001E-3</v>
      </c>
      <c r="E45" s="236" t="s">
        <v>1537</v>
      </c>
      <c r="F45" s="246">
        <f ca="1">F27</f>
        <v>0.15</v>
      </c>
      <c r="G45" s="247" t="s">
        <v>1546</v>
      </c>
    </row>
    <row r="46" spans="1:7" s="214" customFormat="1" ht="13.5" customHeight="1">
      <c r="A46" s="780" t="s">
        <v>346</v>
      </c>
      <c r="B46" s="248" t="s">
        <v>1547</v>
      </c>
      <c r="C46" s="249">
        <f ca="1">ROUND((C33+C39)*F27,0)</f>
        <v>15665629</v>
      </c>
      <c r="D46" s="263"/>
      <c r="E46" s="236"/>
      <c r="F46" s="246"/>
      <c r="G46" s="247"/>
    </row>
    <row r="47" spans="1:7" s="214" customFormat="1" ht="13.5" customHeight="1">
      <c r="A47" s="780" t="s">
        <v>347</v>
      </c>
      <c r="B47" s="248" t="s">
        <v>1548</v>
      </c>
      <c r="C47" s="238">
        <f ca="1">ROUND(C40*F27,4)</f>
        <v>3.0000000000000001E-3</v>
      </c>
      <c r="D47" s="263"/>
      <c r="E47" s="236"/>
      <c r="F47" s="246"/>
      <c r="G47" s="247"/>
    </row>
    <row r="48" spans="1:7" s="214" customFormat="1" ht="13.5" customHeight="1">
      <c r="A48" s="255" t="s">
        <v>1510</v>
      </c>
      <c r="B48" s="210" t="s">
        <v>1549</v>
      </c>
      <c r="C48" s="262">
        <f>ROUND(F30/(1+'数据-取费表'!C42),4)</f>
        <v>5.33E-2</v>
      </c>
      <c r="D48" s="236" t="s">
        <v>1537</v>
      </c>
      <c r="E48" s="232"/>
      <c r="F48" s="237">
        <f>F30</f>
        <v>5.6000000000000001E-2</v>
      </c>
      <c r="G48" s="234" t="s">
        <v>1550</v>
      </c>
    </row>
    <row r="49" spans="1:7" ht="16.5" customHeight="1">
      <c r="A49" s="255" t="s">
        <v>1516</v>
      </c>
      <c r="B49" s="210" t="s">
        <v>1590</v>
      </c>
      <c r="C49" s="232">
        <f ca="1">ROUND((C33+C39+C41+C45)/(1-C40-D41-D45-C48),0)</f>
        <v>134026272</v>
      </c>
      <c r="D49" s="232"/>
      <c r="E49" s="232"/>
      <c r="F49" s="264"/>
      <c r="G49" s="234" t="s">
        <v>1552</v>
      </c>
    </row>
    <row r="50" spans="1:7" s="258" customFormat="1">
      <c r="A50" s="255" t="s">
        <v>1553</v>
      </c>
      <c r="B50" s="210" t="s">
        <v>1554</v>
      </c>
      <c r="C50" s="232"/>
      <c r="D50" s="232"/>
      <c r="E50" s="232"/>
      <c r="F50" s="264">
        <f>IF('数据-取费表'!B24=0,'数据-取费表'!N16,1)</f>
        <v>0.65</v>
      </c>
      <c r="G50" s="247"/>
    </row>
    <row r="51" spans="1:7" ht="16.5" customHeight="1">
      <c r="A51" s="255" t="s">
        <v>1556</v>
      </c>
      <c r="B51" s="210" t="s">
        <v>1591</v>
      </c>
      <c r="C51" s="232">
        <f ca="1">ROUND(C49*F50,0)</f>
        <v>87117077</v>
      </c>
      <c r="D51" s="232"/>
      <c r="E51" s="232"/>
      <c r="F51" s="264"/>
      <c r="G51" s="234" t="s">
        <v>1558</v>
      </c>
    </row>
    <row r="52" spans="1:7" s="208" customFormat="1" ht="16.5" thickBot="1">
      <c r="A52" s="265" t="s">
        <v>1559</v>
      </c>
      <c r="B52" s="266"/>
      <c r="C52" s="267">
        <f ca="1">C31+C51</f>
        <v>97061973</v>
      </c>
      <c r="D52" s="266"/>
      <c r="E52" s="266"/>
      <c r="F52" s="266"/>
      <c r="G52" s="268"/>
    </row>
    <row r="55" spans="1:7" ht="15">
      <c r="B55" s="270" t="s">
        <v>1560</v>
      </c>
      <c r="C55" s="271"/>
    </row>
    <row r="56" spans="1:7">
      <c r="B56" s="273" t="s">
        <v>800</v>
      </c>
      <c r="C56" s="275">
        <f ca="1">1-C57</f>
        <v>0.10199999999999998</v>
      </c>
    </row>
    <row r="57" spans="1:7">
      <c r="B57" s="273" t="s">
        <v>801</v>
      </c>
      <c r="C57" s="274">
        <f ca="1">ROUND(C51/C52,3)</f>
        <v>0.89800000000000002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1592</v>
      </c>
      <c r="B1" s="1191"/>
      <c r="C1" s="1192"/>
      <c r="D1" s="1190"/>
      <c r="E1" s="2806"/>
      <c r="F1" s="2806"/>
      <c r="G1" s="2671"/>
      <c r="H1" s="2806"/>
      <c r="I1" s="2806"/>
      <c r="J1" s="2806"/>
      <c r="K1" s="2807">
        <f>MATCH(C1,'数据-取费表'!A6:A16,0)+5</f>
        <v>8</v>
      </c>
    </row>
    <row r="2" spans="1:33" ht="18" customHeight="1">
      <c r="A2" s="201" t="s">
        <v>1460</v>
      </c>
      <c r="B2" s="204">
        <f ca="1">C32</f>
        <v>-395</v>
      </c>
      <c r="C2" s="276" t="s">
        <v>1593</v>
      </c>
      <c r="D2" s="276"/>
      <c r="E2" s="2806"/>
      <c r="F2" s="2806"/>
      <c r="G2" s="2806"/>
      <c r="H2" s="2806"/>
      <c r="I2" s="2806"/>
      <c r="J2" s="2806"/>
      <c r="K2" s="2806"/>
    </row>
    <row r="3" spans="1:33" ht="18" customHeight="1" thickBot="1">
      <c r="A3" s="203" t="s">
        <v>1462</v>
      </c>
      <c r="B3" s="204">
        <f ca="1">ROUND(B2*10000/IF(C1="",'数据-汇总表'!E3,INDIRECT("'数据-取费表'!K"&amp;$K$1)),0)</f>
        <v>-214</v>
      </c>
      <c r="C3" s="276" t="s">
        <v>1594</v>
      </c>
      <c r="D3" s="276"/>
      <c r="E3" s="2806"/>
      <c r="F3" s="2806"/>
      <c r="G3" s="2806"/>
      <c r="H3" s="2806"/>
      <c r="I3" s="2806"/>
      <c r="J3" s="2806"/>
      <c r="K3" s="2806"/>
    </row>
    <row r="4" spans="1:33" s="785" customFormat="1" ht="16.5" customHeight="1">
      <c r="A4" s="782" t="s">
        <v>1595</v>
      </c>
      <c r="B4" s="783"/>
      <c r="C4" s="824">
        <f>SUM(C8:K8)</f>
        <v>0</v>
      </c>
      <c r="D4" s="783"/>
      <c r="E4" s="783"/>
      <c r="F4" s="783"/>
      <c r="G4" s="783"/>
      <c r="H4" s="783"/>
      <c r="I4" s="783"/>
      <c r="J4" s="783"/>
      <c r="K4" s="784"/>
    </row>
    <row r="5" spans="1:33" s="789" customFormat="1" ht="15">
      <c r="A5" s="786" t="s">
        <v>1596</v>
      </c>
      <c r="B5" s="787" t="s">
        <v>1597</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1598</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1599</v>
      </c>
      <c r="B7" s="131" t="s">
        <v>1600</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1601</v>
      </c>
      <c r="B8" s="164" t="s">
        <v>1602</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1603</v>
      </c>
      <c r="B9" s="783"/>
      <c r="C9" s="783"/>
      <c r="D9" s="783"/>
      <c r="E9" s="783"/>
      <c r="F9" s="783"/>
      <c r="G9" s="783"/>
      <c r="H9" s="783"/>
      <c r="I9" s="783"/>
      <c r="J9" s="783"/>
      <c r="K9" s="784"/>
    </row>
    <row r="10" spans="1:33" s="799" customFormat="1" ht="13.5" customHeight="1">
      <c r="A10" s="786" t="s">
        <v>1604</v>
      </c>
      <c r="B10" s="5" t="s">
        <v>1605</v>
      </c>
      <c r="C10" s="795" t="s">
        <v>1606</v>
      </c>
      <c r="D10" s="796" t="s">
        <v>1607</v>
      </c>
      <c r="E10" s="796" t="s">
        <v>1608</v>
      </c>
      <c r="F10" s="796" t="s">
        <v>1609</v>
      </c>
      <c r="G10" s="5"/>
      <c r="H10" s="797"/>
      <c r="I10" s="797"/>
      <c r="J10" s="797"/>
      <c r="K10" s="798"/>
    </row>
    <row r="11" spans="1:33" s="803" customFormat="1" ht="13.5" customHeight="1">
      <c r="A11" s="800" t="s">
        <v>635</v>
      </c>
      <c r="B11" s="801" t="s">
        <v>1610</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1611</v>
      </c>
      <c r="C12" s="21">
        <f ca="1">ROUND(C11*F12,0)</f>
        <v>0</v>
      </c>
      <c r="D12" s="802"/>
      <c r="E12" s="329"/>
      <c r="F12" s="812">
        <f>'数据-取费表'!B33</f>
        <v>0.05</v>
      </c>
      <c r="G12" s="5" t="s">
        <v>1612</v>
      </c>
      <c r="H12" s="797"/>
      <c r="I12" s="797"/>
      <c r="J12" s="797"/>
      <c r="K12" s="798"/>
    </row>
    <row r="13" spans="1:33" s="803" customFormat="1" ht="13.5" customHeight="1">
      <c r="A13" s="800" t="s">
        <v>637</v>
      </c>
      <c r="B13" s="801" t="s">
        <v>1613</v>
      </c>
      <c r="C13" s="21">
        <f ca="1">ROUND(IF(C1="",SUMIF('数据-取费表'!C:C,"住宅",'数据-取费表'!P:P)*F13,IF(INDIRECT("'数据-取费表'!c"&amp;$K$1)="住宅",INDIRECT("'数据-取费表'!P"&amp;$K$1)*F13,0)),0)</f>
        <v>0</v>
      </c>
      <c r="D13" s="846"/>
      <c r="E13" s="329"/>
      <c r="F13" s="812">
        <f>'数据-取费表'!B34</f>
        <v>0</v>
      </c>
      <c r="G13" s="5" t="s">
        <v>1614</v>
      </c>
      <c r="H13" s="797"/>
      <c r="I13" s="797"/>
      <c r="J13" s="797"/>
      <c r="K13" s="798"/>
    </row>
    <row r="14" spans="1:33" s="805" customFormat="1" ht="13.5" customHeight="1">
      <c r="A14" s="800" t="s">
        <v>638</v>
      </c>
      <c r="B14" s="801" t="s">
        <v>1615</v>
      </c>
      <c r="C14" s="21">
        <f ca="1">ROUND(D14*E14*F11/10000,0)</f>
        <v>0</v>
      </c>
      <c r="D14" s="846">
        <f ca="1">IF(C1="",'数据-汇总表'!E3,INDIRECT("'数据-取费表'!K"&amp;$K$1)+INDIRECT("'数据-取费表'!S"&amp;$K$1))</f>
        <v>18448.600000000002</v>
      </c>
      <c r="E14" s="21">
        <f>'数据-取费表'!B35</f>
        <v>200</v>
      </c>
      <c r="F14" s="804"/>
      <c r="G14" s="5" t="s">
        <v>1616</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1617</v>
      </c>
      <c r="C15" s="811">
        <f ca="1">ROUND(C11*F15,0)</f>
        <v>0</v>
      </c>
      <c r="D15" s="806"/>
      <c r="E15" s="811"/>
      <c r="F15" s="812">
        <f>'数据-取费表'!B36</f>
        <v>0.02</v>
      </c>
      <c r="G15" s="131" t="s">
        <v>1618</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1619</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1620</v>
      </c>
      <c r="C17" s="21">
        <f ca="1">ROUND(D17*E17/10000,0)</f>
        <v>0</v>
      </c>
      <c r="D17" s="846">
        <f ca="1">D14</f>
        <v>18448.600000000002</v>
      </c>
      <c r="E17" s="21">
        <f>'数据-取费表'!B32</f>
        <v>0</v>
      </c>
      <c r="F17" s="806"/>
      <c r="G17" s="131" t="s">
        <v>1621</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1622</v>
      </c>
      <c r="C18" s="21">
        <f ca="1">C19+C20-IF(C1="",'数据-取费表'!B29,IF(G18="已全部缴纳",C19+C20,H18))</f>
        <v>346</v>
      </c>
      <c r="D18" s="846"/>
      <c r="E18" s="21"/>
      <c r="F18" s="804"/>
      <c r="G18" s="1862"/>
      <c r="H18" s="1187"/>
      <c r="I18" s="1863" t="s">
        <v>1623</v>
      </c>
      <c r="J18" s="807"/>
      <c r="K18" s="808"/>
    </row>
    <row r="19" spans="1:33" s="803" customFormat="1" ht="13.5" customHeight="1">
      <c r="A19" s="800" t="s">
        <v>360</v>
      </c>
      <c r="B19" s="801" t="s">
        <v>1624</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1625</v>
      </c>
      <c r="C20" s="21">
        <f ca="1">ROUND(D20*E20/10000,0)</f>
        <v>369</v>
      </c>
      <c r="D20" s="846">
        <f ca="1">IF(C1="",'数据-汇总表'!E6,IF(INDIRECT("'数据-取费表'!c"&amp;$K$1)="住宅",INDIRECT("'数据-取费表'!s"&amp;$K$1),INDIRECT("'数据-取费表'!k"&amp;$K$1)+INDIRECT("'数据-取费表'!s"&amp;$K$1)))</f>
        <v>18448.600000000002</v>
      </c>
      <c r="E20" s="21">
        <f>'数据-取费表'!B28</f>
        <v>200</v>
      </c>
      <c r="F20" s="804"/>
      <c r="G20" s="12"/>
      <c r="H20" s="809"/>
      <c r="I20" s="809"/>
      <c r="J20" s="809"/>
      <c r="K20" s="810"/>
    </row>
    <row r="21" spans="1:33" s="803" customFormat="1" ht="13.5" customHeight="1">
      <c r="A21" s="790" t="s">
        <v>357</v>
      </c>
      <c r="B21" s="813" t="s">
        <v>1626</v>
      </c>
      <c r="C21" s="814">
        <f ca="1">C16+C17+C18</f>
        <v>346</v>
      </c>
      <c r="D21" s="815"/>
      <c r="E21" s="281"/>
      <c r="F21" s="281"/>
      <c r="G21" s="131" t="s">
        <v>1627</v>
      </c>
      <c r="H21" s="807"/>
      <c r="I21" s="807"/>
      <c r="J21" s="807"/>
      <c r="K21" s="808"/>
    </row>
    <row r="22" spans="1:33" s="803" customFormat="1" ht="13.5" customHeight="1">
      <c r="A22" s="790" t="s">
        <v>1599</v>
      </c>
      <c r="B22" s="813" t="s">
        <v>1628</v>
      </c>
      <c r="C22" s="814">
        <f ca="1">ROUND(C21*F22,0)</f>
        <v>7</v>
      </c>
      <c r="D22" s="281"/>
      <c r="E22" s="281"/>
      <c r="F22" s="816">
        <f>'数据-取费表'!B37</f>
        <v>0.02</v>
      </c>
      <c r="G22" s="5" t="s">
        <v>1629</v>
      </c>
      <c r="H22" s="797"/>
      <c r="I22" s="797"/>
      <c r="J22" s="797"/>
      <c r="K22" s="798"/>
    </row>
    <row r="23" spans="1:33" s="803" customFormat="1" ht="13.5" customHeight="1">
      <c r="A23" s="790" t="s">
        <v>1601</v>
      </c>
      <c r="B23" s="813" t="s">
        <v>1630</v>
      </c>
      <c r="C23" s="814">
        <f ca="1">ROUND(C4*F23*F11,0)</f>
        <v>0</v>
      </c>
      <c r="D23" s="281"/>
      <c r="E23" s="281"/>
      <c r="F23" s="816">
        <f>'数据-取费表'!B38</f>
        <v>0.02</v>
      </c>
      <c r="G23" s="5" t="s">
        <v>1631</v>
      </c>
      <c r="H23" s="797"/>
      <c r="I23" s="797"/>
      <c r="J23" s="797"/>
      <c r="K23" s="798"/>
    </row>
    <row r="24" spans="1:33" s="803" customFormat="1" ht="13.5" customHeight="1">
      <c r="A24" s="790" t="s">
        <v>1632</v>
      </c>
      <c r="B24" s="813" t="s">
        <v>1633</v>
      </c>
      <c r="C24" s="280">
        <f>ROUND(F24/(1+'数据-取费表'!C42),4)</f>
        <v>2.9000000000000001E-2</v>
      </c>
      <c r="D24" s="281" t="s">
        <v>12</v>
      </c>
      <c r="E24" s="281"/>
      <c r="F24" s="816">
        <f>IF(项目基本情况!B8="出让",0,'数据-取费表'!B48+'数据-取费表'!B49)</f>
        <v>3.0499999999999999E-2</v>
      </c>
      <c r="G24" s="5" t="s">
        <v>1634</v>
      </c>
      <c r="H24" s="818"/>
      <c r="I24" s="818"/>
      <c r="J24" s="818"/>
      <c r="K24" s="819"/>
    </row>
    <row r="25" spans="1:33" s="803" customFormat="1" ht="13.5" customHeight="1">
      <c r="A25" s="790" t="s">
        <v>1635</v>
      </c>
      <c r="B25" s="815" t="s">
        <v>1636</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1637</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1638</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1639</v>
      </c>
      <c r="B28" s="1865" t="s">
        <v>1640</v>
      </c>
      <c r="C28" s="287">
        <f ca="1">C30</f>
        <v>53</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1641</v>
      </c>
      <c r="C29" s="284">
        <f ca="1">ROUND((1+C24)*F28*'数据-取费表'!B24/'数据-取费表'!B20,4)</f>
        <v>0</v>
      </c>
      <c r="D29" s="284"/>
      <c r="E29" s="285"/>
      <c r="F29" s="290"/>
      <c r="G29" s="131" t="s">
        <v>1642</v>
      </c>
      <c r="H29" s="807"/>
      <c r="I29" s="807"/>
      <c r="J29" s="807"/>
      <c r="K29" s="808"/>
    </row>
    <row r="30" spans="1:33" s="291" customFormat="1" ht="13.5" customHeight="1">
      <c r="A30" s="800" t="s">
        <v>359</v>
      </c>
      <c r="B30" s="822" t="s">
        <v>1643</v>
      </c>
      <c r="C30" s="292">
        <f ca="1">ROUND((C21+C22+C23)*F28,0)</f>
        <v>53</v>
      </c>
      <c r="D30" s="284"/>
      <c r="E30" s="285"/>
      <c r="F30" s="290"/>
      <c r="G30" s="131"/>
      <c r="H30" s="807"/>
      <c r="I30" s="807"/>
      <c r="J30" s="807"/>
      <c r="K30" s="808"/>
    </row>
    <row r="31" spans="1:33" s="803" customFormat="1" ht="13.5" customHeight="1" thickBot="1">
      <c r="A31" s="1866" t="s">
        <v>1644</v>
      </c>
      <c r="B31" s="833" t="s">
        <v>1645</v>
      </c>
      <c r="C31" s="834">
        <f>ROUND(C4*F31/(1+'数据-取费表'!C42),0)</f>
        <v>0</v>
      </c>
      <c r="D31" s="835"/>
      <c r="E31" s="836"/>
      <c r="F31" s="837">
        <f>'数据-取费表'!B41</f>
        <v>5.6000000000000001E-2</v>
      </c>
      <c r="G31" s="838" t="s">
        <v>1646</v>
      </c>
      <c r="H31" s="839"/>
      <c r="I31" s="839"/>
      <c r="J31" s="839"/>
      <c r="K31" s="840"/>
    </row>
    <row r="32" spans="1:33" s="799" customFormat="1" ht="13.5" customHeight="1" thickBot="1">
      <c r="A32" s="828" t="s">
        <v>1647</v>
      </c>
      <c r="B32" s="829"/>
      <c r="C32" s="830">
        <f ca="1">ROUND((C4-C21-C22-C23-C25-C28-C31)/(1+C24+D25+D28),0)</f>
        <v>-395</v>
      </c>
      <c r="D32" s="829"/>
      <c r="E32" s="829"/>
      <c r="F32" s="829"/>
      <c r="G32" s="831" t="s">
        <v>1648</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C25" zoomScale="85" zoomScaleNormal="80" zoomScaleSheetLayoutView="85" workbookViewId="0">
      <selection activeCell="B14" sqref="B1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1924</v>
      </c>
      <c r="B1" s="197"/>
      <c r="C1" s="201" t="s">
        <v>1925</v>
      </c>
      <c r="D1" s="342">
        <f>SUM(D33:D34,D37:D42)</f>
        <v>1168.2</v>
      </c>
      <c r="E1" s="1995"/>
      <c r="F1" s="1995"/>
      <c r="G1" s="1995"/>
      <c r="H1" s="1995"/>
      <c r="I1" s="1995"/>
      <c r="J1" s="1995"/>
      <c r="K1" s="1119"/>
      <c r="L1" s="1996" t="s">
        <v>1926</v>
      </c>
      <c r="M1" s="863">
        <f>SUMPRODUCT((区片价!B5:B9=I2)*(区片价!C3:G3=E2)*(区片价!C5:G9))</f>
        <v>0</v>
      </c>
      <c r="N1" s="866">
        <f>SUMPRODUCT((因素修正幅度!B5:B9=I2)*(因素修正幅度!C3:G3=E2)*(因素修正幅度!C5:G9))</f>
        <v>0</v>
      </c>
      <c r="O1" s="1997"/>
      <c r="P1" s="1997"/>
      <c r="Q1" s="1119"/>
      <c r="R1" s="1212" t="s">
        <v>1927</v>
      </c>
      <c r="S1" s="1212" t="s">
        <v>1928</v>
      </c>
      <c r="T1" s="1212" t="s">
        <v>1929</v>
      </c>
      <c r="U1" s="1212" t="s">
        <v>1930</v>
      </c>
      <c r="V1" s="1212" t="s">
        <v>1931</v>
      </c>
      <c r="W1" s="1216"/>
      <c r="X1" s="1216"/>
      <c r="Y1" s="1216"/>
      <c r="Z1" s="1216"/>
      <c r="AA1" s="1216"/>
      <c r="AB1" s="1216"/>
      <c r="AC1" s="1217"/>
      <c r="AD1" s="1218"/>
      <c r="AE1" s="1218"/>
      <c r="AF1" s="1218"/>
      <c r="AG1" s="1218"/>
      <c r="AH1" s="1218"/>
      <c r="AI1" s="1218"/>
      <c r="AJ1" s="1219"/>
    </row>
    <row r="2" spans="1:36" ht="15.75">
      <c r="A2" s="201" t="s">
        <v>1932</v>
      </c>
      <c r="B2" s="204">
        <f>C30</f>
        <v>3826</v>
      </c>
      <c r="C2" s="1999" t="s">
        <v>1933</v>
      </c>
      <c r="D2" s="2000" t="s">
        <v>1934</v>
      </c>
      <c r="E2" s="3422" t="s">
        <v>21</v>
      </c>
      <c r="F2" s="2000" t="s">
        <v>1935</v>
      </c>
      <c r="G2" s="2001" t="str">
        <f>IF(E2="商业",项目基本情况!B37,IF(E2="办公",项目基本情况!C37,IF(E2="住宅",项目基本情况!D37,IF(E2="工业",项目基本情况!E37,项目基本情况!F37))))</f>
        <v>二级</v>
      </c>
      <c r="H2" s="2000" t="s">
        <v>1936</v>
      </c>
      <c r="I2" s="2001" t="str">
        <f>IF(E2="商业",项目基本情况!B38,IF(E2="办公",项目基本情况!C38,IF(E2="住宅",项目基本情况!D38,IF(E2="工业",项目基本情况!E38,项目基本情况!F38))))</f>
        <v>Ⅱ—15</v>
      </c>
      <c r="J2" s="2002"/>
      <c r="K2" s="1119"/>
      <c r="L2" s="2003" t="s">
        <v>1937</v>
      </c>
      <c r="M2" s="864">
        <f>SUMPRODUCT((区片价!B10:B29=I2)*(区片价!C3:G3=E2)*(区片价!C10:G29))</f>
        <v>32260</v>
      </c>
      <c r="N2" s="866">
        <f>SUMPRODUCT((因素修正幅度!B10:B29=I2)*(因素修正幅度!C3:G3=E2)*(因素修正幅度!C10:G29))</f>
        <v>0.1</v>
      </c>
      <c r="O2" s="1119"/>
      <c r="P2" s="1119"/>
      <c r="Q2" s="1119"/>
      <c r="R2" s="1212">
        <v>1</v>
      </c>
      <c r="S2" s="3361">
        <f>ROUND(SUMPRODUCT((B106:B110=R2)*(C105:N105=G2)*(C106:N110)),4)</f>
        <v>1.5206</v>
      </c>
      <c r="T2" s="3361">
        <f t="shared" ref="T2:T16" si="0">ROUND($C$5*$C$22*$C$23*$C$24*S2*$C$28,0)</f>
        <v>49803</v>
      </c>
      <c r="U2" s="1213"/>
      <c r="V2" s="3361">
        <f>ROUND(T2*U2/10000,0)</f>
        <v>0</v>
      </c>
      <c r="W2" s="1216"/>
      <c r="X2" s="1216"/>
      <c r="Y2" s="1216"/>
      <c r="Z2" s="1216"/>
      <c r="AA2" s="1216"/>
      <c r="AB2" s="1216"/>
      <c r="AC2" s="1217"/>
      <c r="AD2" s="1218"/>
      <c r="AE2" s="1218"/>
      <c r="AF2" s="1218"/>
      <c r="AG2" s="1218"/>
      <c r="AH2" s="1218"/>
      <c r="AI2" s="1218"/>
      <c r="AJ2" s="1219"/>
    </row>
    <row r="3" spans="1:36" ht="15.75">
      <c r="A3" s="203" t="s">
        <v>1938</v>
      </c>
      <c r="B3" s="204">
        <f>ROUND(B2*10000/D1,0)</f>
        <v>32751</v>
      </c>
      <c r="C3" s="1999" t="s">
        <v>1939</v>
      </c>
      <c r="D3" s="2000" t="s">
        <v>1940</v>
      </c>
      <c r="E3" s="3420" t="s">
        <v>3549</v>
      </c>
      <c r="F3" s="2004" t="s">
        <v>3550</v>
      </c>
      <c r="G3" s="752">
        <f>IF(F3="宗地容积率",'数据-汇总表'!I4,IF(F3="估价对象容积率",'数据-汇总表'!I6,'数据-汇总表'!I7))</f>
        <v>3.5</v>
      </c>
      <c r="H3" s="170" t="s">
        <v>1941</v>
      </c>
      <c r="I3" s="775"/>
      <c r="J3" s="2002" t="s">
        <v>1942</v>
      </c>
      <c r="K3" s="1119"/>
      <c r="L3" s="2003" t="s">
        <v>1943</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1.2072000000000001</v>
      </c>
      <c r="T3" s="3361">
        <f t="shared" si="0"/>
        <v>39538</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860"/>
      <c r="B4" s="3861"/>
      <c r="C4" s="3861"/>
      <c r="D4" s="3862"/>
      <c r="E4" s="3862"/>
      <c r="F4" s="3862"/>
      <c r="G4" s="3862"/>
      <c r="H4" s="3862"/>
      <c r="I4" s="3862"/>
      <c r="J4" s="3863"/>
      <c r="K4" s="1119"/>
      <c r="L4" s="2003" t="s">
        <v>1944</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1.0430999999999999</v>
      </c>
      <c r="T4" s="3361">
        <f t="shared" si="0"/>
        <v>34164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1945</v>
      </c>
      <c r="C5" s="753">
        <f>ROUND(IF(E2="商业",C6*C7*C17+C20,(IF(E2="住宅",C6*C13*C17+C20,IF(E2="办公",C6*C12*C17+C20,C6+C20)))),0)</f>
        <v>33856</v>
      </c>
      <c r="D5" s="1339">
        <f>ROUND(C6*C17+C20,0)</f>
        <v>32243</v>
      </c>
      <c r="E5" s="1339"/>
      <c r="F5" s="2007"/>
      <c r="G5" s="2008"/>
      <c r="H5" s="2008"/>
      <c r="I5" s="2008"/>
      <c r="J5" s="2009"/>
      <c r="K5" s="2010"/>
      <c r="L5" s="2003" t="s">
        <v>1946</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0.94389999999999996</v>
      </c>
      <c r="T5" s="3361">
        <f t="shared" si="0"/>
        <v>30915</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1947</v>
      </c>
      <c r="B6" s="2016" t="s">
        <v>1948</v>
      </c>
      <c r="C6" s="754">
        <f>SUMIF(L1:L12,G2,M1:M12)</f>
        <v>32260</v>
      </c>
      <c r="D6" s="2017"/>
      <c r="E6" s="2018"/>
      <c r="F6" s="2018"/>
      <c r="G6" s="2019"/>
      <c r="H6" s="2019"/>
      <c r="I6" s="2019"/>
      <c r="J6" s="2020"/>
      <c r="K6" s="1384"/>
      <c r="L6" s="2003" t="s">
        <v>1949</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0.89959999999999996</v>
      </c>
      <c r="T6" s="3361">
        <f t="shared" si="0"/>
        <v>29464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3238</v>
      </c>
      <c r="B7" s="2021" t="s">
        <v>1950</v>
      </c>
      <c r="C7" s="755" t="e">
        <f>IF(C8="不临65条商业街",1,ROUND(1+(1.6*E8+1.2*E9+0.8*E10+0.4*E11)*C9,4))</f>
        <v>#DIV/0!</v>
      </c>
      <c r="D7" s="2022" t="s">
        <v>1951</v>
      </c>
      <c r="E7" s="776"/>
      <c r="F7" s="2023"/>
      <c r="G7" s="2024"/>
      <c r="H7" s="2024"/>
      <c r="I7" s="2024"/>
      <c r="J7" s="2025"/>
      <c r="K7" s="1384"/>
      <c r="L7" s="2003" t="s">
        <v>1952</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1953</v>
      </c>
      <c r="X7" s="1214" t="str">
        <f>G2</f>
        <v>二级</v>
      </c>
      <c r="Y7" s="1214" t="s">
        <v>1954</v>
      </c>
      <c r="Z7" s="1215">
        <f>G3</f>
        <v>3.5</v>
      </c>
      <c r="AA7" s="1216"/>
      <c r="AB7" s="1216"/>
      <c r="AC7" s="1217"/>
      <c r="AD7" s="1218"/>
      <c r="AE7" s="1218"/>
      <c r="AF7" s="1218"/>
      <c r="AG7" s="1218"/>
      <c r="AH7" s="1218"/>
      <c r="AI7" s="1218"/>
      <c r="AJ7" s="1219"/>
    </row>
    <row r="8" spans="1:36" ht="15">
      <c r="A8" s="3299"/>
      <c r="B8" s="170" t="s">
        <v>1955</v>
      </c>
      <c r="C8" s="2026"/>
      <c r="D8" s="756" t="s">
        <v>112</v>
      </c>
      <c r="E8" s="757" t="e">
        <f>ROUND(C11/E7,4)</f>
        <v>#DIV/0!</v>
      </c>
      <c r="F8" s="2027" t="s">
        <v>1956</v>
      </c>
      <c r="G8" s="2028"/>
      <c r="H8" s="2028"/>
      <c r="I8" s="2028"/>
      <c r="J8" s="2029"/>
      <c r="K8" s="1119"/>
      <c r="L8" s="2003" t="s">
        <v>1957</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857" t="s">
        <v>1958</v>
      </c>
      <c r="X8" s="3858"/>
      <c r="Y8" s="1220" t="s">
        <v>1959</v>
      </c>
      <c r="Z8" s="1220" t="s">
        <v>1960</v>
      </c>
      <c r="AA8" s="1220" t="s">
        <v>1961</v>
      </c>
      <c r="AB8" s="1220" t="s">
        <v>1962</v>
      </c>
      <c r="AC8" s="1220" t="s">
        <v>1963</v>
      </c>
      <c r="AD8" s="1220" t="s">
        <v>1964</v>
      </c>
      <c r="AE8" s="1220" t="s">
        <v>1965</v>
      </c>
      <c r="AF8" s="1220" t="s">
        <v>1966</v>
      </c>
      <c r="AG8" s="1220" t="s">
        <v>1967</v>
      </c>
      <c r="AH8" s="1220" t="s">
        <v>1968</v>
      </c>
      <c r="AI8" s="1220" t="s">
        <v>1969</v>
      </c>
      <c r="AJ8" s="1220" t="s">
        <v>1970</v>
      </c>
    </row>
    <row r="9" spans="1:36" ht="15">
      <c r="A9" s="3299"/>
      <c r="B9" s="170" t="s">
        <v>1971</v>
      </c>
      <c r="C9" s="758">
        <f>SUMIF(修正!C71:C138,C8,修正!E71:E138)</f>
        <v>0</v>
      </c>
      <c r="D9" s="171" t="s">
        <v>113</v>
      </c>
      <c r="E9" s="171" t="e">
        <f>ROUND(C11/E7,4)</f>
        <v>#DIV/0!</v>
      </c>
      <c r="F9" s="2027" t="s">
        <v>1972</v>
      </c>
      <c r="G9" s="2028"/>
      <c r="H9" s="2028"/>
      <c r="I9" s="2028"/>
      <c r="J9" s="2029"/>
      <c r="K9" s="1119"/>
      <c r="L9" s="2003" t="s">
        <v>1973</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859"/>
      <c r="X9" s="3362" t="s">
        <v>3269</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1974</v>
      </c>
      <c r="C10" s="171">
        <f>SUMIF(修正!C71:C138,C8,修正!F71:F138)</f>
        <v>0</v>
      </c>
      <c r="D10" s="171" t="s">
        <v>114</v>
      </c>
      <c r="E10" s="171" t="e">
        <f>ROUND(C11/E7,4)</f>
        <v>#DIV/0!</v>
      </c>
      <c r="F10" s="2027" t="s">
        <v>1975</v>
      </c>
      <c r="G10" s="2028"/>
      <c r="H10" s="2028"/>
      <c r="I10" s="2028"/>
      <c r="J10" s="2029"/>
      <c r="K10" s="1119"/>
      <c r="L10" s="2003" t="s">
        <v>1976</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859"/>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1977</v>
      </c>
      <c r="C11" s="759">
        <f>C10/4</f>
        <v>0</v>
      </c>
      <c r="D11" s="759" t="s">
        <v>115</v>
      </c>
      <c r="E11" s="759" t="e">
        <f>ROUND(C11/E7,4)</f>
        <v>#DIV/0!</v>
      </c>
      <c r="F11" s="2031" t="s">
        <v>1978</v>
      </c>
      <c r="G11" s="2032"/>
      <c r="H11" s="2032"/>
      <c r="I11" s="2032"/>
      <c r="J11" s="2033"/>
      <c r="K11" s="1119"/>
      <c r="L11" s="2003" t="s">
        <v>1979</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3239</v>
      </c>
      <c r="B12" s="3305" t="s">
        <v>3240</v>
      </c>
      <c r="C12" s="3306">
        <v>1.05</v>
      </c>
      <c r="D12" s="3307" t="s">
        <v>3241</v>
      </c>
      <c r="E12" s="3308" t="s">
        <v>3242</v>
      </c>
      <c r="F12" s="3309"/>
      <c r="G12" s="3310"/>
      <c r="H12" s="3310"/>
      <c r="I12" s="3310"/>
      <c r="J12" s="3311"/>
      <c r="K12" s="1119"/>
      <c r="L12" s="2039" t="s">
        <v>1982</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3243</v>
      </c>
      <c r="B13" s="2034" t="s">
        <v>1980</v>
      </c>
      <c r="C13" s="755">
        <f>ROUND(C16*D16*E16*F16*G16*H16*I16*J16,4)</f>
        <v>0</v>
      </c>
      <c r="D13" s="2035" t="s">
        <v>1981</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1983</v>
      </c>
      <c r="C14" s="2041" t="s">
        <v>1984</v>
      </c>
      <c r="D14" s="1350" t="s">
        <v>1985</v>
      </c>
      <c r="E14" s="27" t="s">
        <v>1986</v>
      </c>
      <c r="F14" s="3312" t="s">
        <v>3244</v>
      </c>
      <c r="G14" s="3312" t="s">
        <v>3244</v>
      </c>
      <c r="H14" s="3312" t="s">
        <v>3244</v>
      </c>
      <c r="I14" s="3312" t="s">
        <v>3244</v>
      </c>
      <c r="J14" s="3312" t="s">
        <v>3244</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3245</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1987</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3246</v>
      </c>
      <c r="B17" s="3321" t="s">
        <v>3247</v>
      </c>
      <c r="C17" s="3331">
        <f>ROUND(IF(OR(E2="工业",E2="公共服务"),1,IF(AND(E18=0,E19=0),1,IF(AND(E18=J24,E19=G19),0.8,IF(E19=0,1+E17*(-0.2),1+E17*G17*(-0.2))))),4)</f>
        <v>1</v>
      </c>
      <c r="D17" s="3322" t="s">
        <v>3248</v>
      </c>
      <c r="E17" s="3331">
        <f>ROUND(G18/I18,2)</f>
        <v>0</v>
      </c>
      <c r="F17" s="3322" t="s">
        <v>3251</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3249</v>
      </c>
      <c r="E18" s="3329"/>
      <c r="F18" s="3324" t="s">
        <v>3252</v>
      </c>
      <c r="G18" s="3328">
        <f>ROUND(1-(1/(POWER(1+G24,E18))),4)</f>
        <v>0</v>
      </c>
      <c r="H18" s="3324" t="s">
        <v>3254</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3250</v>
      </c>
      <c r="E19" s="3338"/>
      <c r="F19" s="3339" t="s">
        <v>3253</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864" t="s">
        <v>3255</v>
      </c>
      <c r="B20" s="167" t="s">
        <v>1992</v>
      </c>
      <c r="C20" s="3325">
        <f>ROUND(IF(F21="与级别开发程度一致",0,(G21-E21)/C21),0)</f>
        <v>-17</v>
      </c>
      <c r="D20" s="3341" t="s">
        <v>1996</v>
      </c>
      <c r="E20" s="3342"/>
      <c r="F20" s="3870" t="s">
        <v>1993</v>
      </c>
      <c r="G20" s="3871"/>
      <c r="H20" s="3326" t="s">
        <v>3647</v>
      </c>
      <c r="I20" s="3326" t="s">
        <v>3648</v>
      </c>
      <c r="J20" s="3327" t="s">
        <v>3649</v>
      </c>
      <c r="K20" s="2047" t="s">
        <v>3650</v>
      </c>
      <c r="L20" s="2047" t="s">
        <v>3651</v>
      </c>
      <c r="M20" s="2047" t="s">
        <v>3652</v>
      </c>
      <c r="N20" s="2047"/>
      <c r="O20" s="2048" t="s">
        <v>3653</v>
      </c>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865"/>
      <c r="B21" s="2164" t="s">
        <v>1995</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3654</v>
      </c>
      <c r="G21" s="2157">
        <f>SUM(H21:O21)</f>
        <v>315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30</v>
      </c>
      <c r="L21" s="2165">
        <f>SUMPRODUCT((七通一平=L20)*(修正!B1:M1=G2)*(修正!B8:M16))</f>
        <v>45</v>
      </c>
      <c r="M21" s="2165">
        <f>SUMPRODUCT((七通一平=M20)*(修正!B1:M1=G2)*(修正!B8:M16))</f>
        <v>50</v>
      </c>
      <c r="N21" s="2165">
        <f>SUMPRODUCT((七通一平=N20)*(修正!B1:M1=G2)*(修正!B8:M16))</f>
        <v>0</v>
      </c>
      <c r="O21" s="2167">
        <f>SUMPRODUCT((七通一平=O20)*(修正!B1:M1=G2)*(修正!B8:M16))</f>
        <v>20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1998</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1999</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1.0266</v>
      </c>
      <c r="D23" s="2054" t="s">
        <v>2000</v>
      </c>
      <c r="E23" s="761">
        <v>44197</v>
      </c>
      <c r="F23" s="2054" t="s">
        <v>2001</v>
      </c>
      <c r="G23" s="762">
        <f>'数据-取费表'!B2</f>
        <v>45400</v>
      </c>
      <c r="H23" s="3343" t="s">
        <v>3257</v>
      </c>
      <c r="I23" s="3344" t="str">
        <f>IF(H23="季度增幅（自定义）",SUMIF(N25:N28,E2,O25:O28),"")</f>
        <v/>
      </c>
      <c r="J23" s="3446" t="s">
        <v>3256</v>
      </c>
      <c r="K23" s="1125"/>
      <c r="L23" s="2055" t="s">
        <v>2002</v>
      </c>
      <c r="M23" s="1328">
        <f>ROUND(SUMIF(地价!B2:G2,E2,地价!B16:G16),0)</f>
        <v>350</v>
      </c>
      <c r="N23" s="2056" t="s">
        <v>2003</v>
      </c>
      <c r="O23" s="763">
        <f>ROUNDDOWN(DATEDIF(E23,G23,"M")/3,0)</f>
        <v>13</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2004</v>
      </c>
      <c r="C24" s="764">
        <f>ROUND(POWER(1+G24,J24-I24)*(POWER(1+G24,I24)-1)/(POWER(1+G24,J24)-1),4)</f>
        <v>0.86809999999999998</v>
      </c>
      <c r="D24" s="2060" t="s">
        <v>2005</v>
      </c>
      <c r="E24" s="1335">
        <f>存贷款利率!E24/100</f>
        <v>4.3499999999999997E-2</v>
      </c>
      <c r="F24" s="2060" t="s">
        <v>1997</v>
      </c>
      <c r="G24" s="768">
        <f>SUMIF(M30:Q30,E2,M33:Q33)</f>
        <v>5.5E-2</v>
      </c>
      <c r="H24" s="2060" t="s">
        <v>2006</v>
      </c>
      <c r="I24" s="769">
        <f>SUMIF('数据-取费表'!C6:C15,E2,'数据-取费表'!F6:F15)/COUNTIF('数据-取费表'!C6:C15,E2)</f>
        <v>30.86</v>
      </c>
      <c r="J24" s="770">
        <f>IF(E2="住宅",70,IF(E2="商业",40,50))</f>
        <v>50</v>
      </c>
      <c r="K24" s="1125"/>
      <c r="L24" s="2061" t="s">
        <v>2007</v>
      </c>
      <c r="M24" s="1329">
        <f>ROUND(SUMPRODUCT((地价!A4:A16=YEAR(G23)&amp;"-"&amp;ROUNDUP(MONTH(G23)/3,0))*(地价!B2:G2=E2)*(地价!B4:G16)),0)</f>
        <v>0</v>
      </c>
      <c r="N24" s="2062" t="s">
        <v>2008</v>
      </c>
      <c r="O24" s="2063" t="s">
        <v>2009</v>
      </c>
      <c r="P24" s="2064" t="s">
        <v>2010</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3336</v>
      </c>
      <c r="C25" s="771">
        <f>IF(B25="容积率修正",IF(G3&lt;10,D26,J26),C27)</f>
        <v>1</v>
      </c>
      <c r="D25" s="2067"/>
      <c r="E25" s="2067"/>
      <c r="F25" s="2067"/>
      <c r="G25" s="2067"/>
      <c r="H25" s="2067"/>
      <c r="I25" s="2067"/>
      <c r="J25" s="2068"/>
      <c r="K25" s="1125"/>
      <c r="L25" s="2788"/>
      <c r="M25" s="2788"/>
      <c r="N25" s="2069" t="s">
        <v>2011</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2012</v>
      </c>
      <c r="B26" s="2070" t="s">
        <v>2013</v>
      </c>
      <c r="C26" s="3345" t="s">
        <v>3258</v>
      </c>
      <c r="D26" s="1352">
        <f>IF(E26=G26,F26,IF(G3&lt;10,ROUND(F26+(H26-F26)*(G3-E26)/(G26-E26),4),"——"))</f>
        <v>1</v>
      </c>
      <c r="E26" s="752">
        <f>ROUNDDOWN(G3,1)</f>
        <v>3.5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3.5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3259</v>
      </c>
      <c r="J26" s="772" t="str">
        <f>IF(G3&gt;=10,D115,"——")</f>
        <v>——</v>
      </c>
      <c r="K26" s="1125"/>
      <c r="L26" s="2788"/>
      <c r="M26" s="2788"/>
      <c r="N26" s="2069" t="s">
        <v>2014</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2015</v>
      </c>
      <c r="B27" s="2071" t="s">
        <v>2016</v>
      </c>
      <c r="C27" s="841">
        <f>ROUND(IF(I3&lt;6,SUMPRODUCT((B106:B110=I3)*(C105:N105=G2)*(C106:N110)),SUMIF(C105:N105,G2,C112:N112)),4)</f>
        <v>0</v>
      </c>
      <c r="D27" s="2046"/>
      <c r="E27" s="2046"/>
      <c r="F27" s="2072"/>
      <c r="G27" s="2073"/>
      <c r="H27" s="2074"/>
      <c r="I27" s="2075"/>
      <c r="J27" s="2076"/>
      <c r="K27" s="1119"/>
      <c r="L27" s="1997"/>
      <c r="M27" s="1997"/>
      <c r="N27" s="2069" t="s">
        <v>2017</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2018</v>
      </c>
      <c r="C28" s="760">
        <f>SUMIF(A47:A101,E2,B47:B101)</f>
        <v>1.0854999999999999</v>
      </c>
      <c r="D28" s="2052"/>
      <c r="E28" s="2077"/>
      <c r="F28" s="2077"/>
      <c r="G28" s="2077"/>
      <c r="H28" s="2077"/>
      <c r="I28" s="2077"/>
      <c r="J28" s="2078"/>
      <c r="K28" s="1125"/>
      <c r="L28" s="2788"/>
      <c r="M28" s="2788"/>
      <c r="N28" s="2079" t="s">
        <v>2019</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2020</v>
      </c>
      <c r="C29" s="765"/>
      <c r="D29" s="2024"/>
      <c r="E29" s="2024"/>
      <c r="F29" s="2081"/>
      <c r="G29" s="2024"/>
      <c r="H29" s="2024"/>
      <c r="I29" s="2024"/>
      <c r="J29" s="2025"/>
      <c r="K29" s="1119"/>
      <c r="L29" s="1997"/>
      <c r="M29" s="1997"/>
      <c r="N29" s="2785" t="s">
        <v>2021</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2022</v>
      </c>
      <c r="C30" s="2321">
        <f>IF(B25="容积率修正",E33+SUM(E37:E42),SUM(V2:V16)+SUM(E37:E42))</f>
        <v>3826</v>
      </c>
      <c r="D30" s="2083"/>
      <c r="E30" s="2046"/>
      <c r="F30" s="2084"/>
      <c r="G30" s="2046"/>
      <c r="H30" s="2046"/>
      <c r="I30" s="2046"/>
      <c r="J30" s="2085"/>
      <c r="K30" s="1119"/>
      <c r="L30" s="3351" t="s">
        <v>1934</v>
      </c>
      <c r="M30" s="3352" t="s">
        <v>1988</v>
      </c>
      <c r="N30" s="3352" t="s">
        <v>1989</v>
      </c>
      <c r="O30" s="3352" t="s">
        <v>1990</v>
      </c>
      <c r="P30" s="3352" t="s">
        <v>1991</v>
      </c>
      <c r="Q30" s="3355"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2023</v>
      </c>
      <c r="C31" s="766">
        <f>E34+SUM(I37:I42)</f>
        <v>0</v>
      </c>
      <c r="D31" s="2087"/>
      <c r="E31" s="2088"/>
      <c r="F31" s="2089"/>
      <c r="G31" s="2088"/>
      <c r="H31" s="2088"/>
      <c r="I31" s="2088"/>
      <c r="J31" s="2090"/>
      <c r="K31" s="1119"/>
      <c r="L31" s="3353" t="s">
        <v>1994</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2024</v>
      </c>
      <c r="C32" s="2093" t="s">
        <v>2025</v>
      </c>
      <c r="D32" s="2093" t="s">
        <v>2026</v>
      </c>
      <c r="E32" s="2094" t="s">
        <v>2027</v>
      </c>
      <c r="F32" s="2095"/>
      <c r="G32" s="2037"/>
      <c r="H32" s="2037"/>
      <c r="I32" s="2037"/>
      <c r="J32" s="2038"/>
      <c r="K32" s="1119"/>
      <c r="L32" s="3354" t="s">
        <v>1997</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2028</v>
      </c>
      <c r="C33" s="175">
        <f>ROUND(C5*C22*C23*C24*C25*C28,0)</f>
        <v>32752</v>
      </c>
      <c r="D33" s="2098">
        <f>'数据-汇总表'!F19</f>
        <v>1168.2</v>
      </c>
      <c r="E33" s="773">
        <f>ROUND(C33*D33/10000,0)</f>
        <v>3826</v>
      </c>
      <c r="F33" s="3346" t="s">
        <v>3261</v>
      </c>
      <c r="G33" s="2099"/>
      <c r="H33" s="2099"/>
      <c r="I33" s="2099"/>
      <c r="J33" s="2100"/>
      <c r="K33" s="1119"/>
      <c r="L33" s="3349" t="s">
        <v>3264</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2029</v>
      </c>
      <c r="C34" s="187">
        <f>ROUND(IF(E2="工业",C33*M42,IF(B25="楼层修正",SUM(V2:V16)*M41*10000/D34,C33*M41)),0)</f>
        <v>8188</v>
      </c>
      <c r="D34" s="2103"/>
      <c r="E34" s="773">
        <f>ROUND(IF(B25="楼层修正",SUM(V2:V16)*M40,C34*D34/10000),0)</f>
        <v>0</v>
      </c>
      <c r="F34" s="2104" t="s">
        <v>2030</v>
      </c>
      <c r="G34" s="2105"/>
      <c r="H34" s="2105"/>
      <c r="I34" s="2105"/>
      <c r="J34" s="2106"/>
      <c r="K34" s="1119"/>
      <c r="L34" s="3349" t="s">
        <v>3265</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2031</v>
      </c>
      <c r="C35" s="3347" t="s">
        <v>3262</v>
      </c>
      <c r="D35" s="2037"/>
      <c r="E35" s="2109"/>
      <c r="F35" s="2109"/>
      <c r="G35" s="2035" t="s">
        <v>2032</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2025</v>
      </c>
      <c r="D36" s="447" t="s">
        <v>2026</v>
      </c>
      <c r="E36" s="447" t="s">
        <v>2027</v>
      </c>
      <c r="F36" s="342" t="s">
        <v>2033</v>
      </c>
      <c r="G36" s="2112" t="s">
        <v>2025</v>
      </c>
      <c r="H36" s="2112" t="s">
        <v>2026</v>
      </c>
      <c r="I36" s="2112" t="s">
        <v>2027</v>
      </c>
      <c r="J36" s="243"/>
      <c r="K36" s="3357" t="s">
        <v>3266</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68"/>
      <c r="B37" s="2113" t="s">
        <v>2034</v>
      </c>
      <c r="C37" s="175">
        <f>ROUND(D5*C22*C23*C24*C28*F37,0)</f>
        <v>21834</v>
      </c>
      <c r="D37" s="2098"/>
      <c r="E37" s="171">
        <f>ROUND(C37*D37/10000,0)</f>
        <v>0</v>
      </c>
      <c r="F37" s="171">
        <f>SUMIF(修正!A57:A68,G2,修正!B57:B68)</f>
        <v>0.7</v>
      </c>
      <c r="G37" s="171">
        <f>ROUND(IF(E2="工业",C37*$M$42,C37*$M$41),0)</f>
        <v>5459</v>
      </c>
      <c r="H37" s="171">
        <f>D37</f>
        <v>0</v>
      </c>
      <c r="I37" s="171">
        <f>ROUND(G37*H37/10000,0)</f>
        <v>0</v>
      </c>
      <c r="J37" s="3012"/>
      <c r="K37" s="3359" t="s">
        <v>3267</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69"/>
      <c r="B38" s="2041" t="s">
        <v>2035</v>
      </c>
      <c r="C38" s="175">
        <f>ROUND(D5*C22*C23*C24*C28*F38,0)</f>
        <v>12477</v>
      </c>
      <c r="D38" s="2098"/>
      <c r="E38" s="171">
        <f t="shared" ref="E38:E42" si="4">ROUND(C38*D38/10000,0)</f>
        <v>0</v>
      </c>
      <c r="F38" s="171">
        <f>SUMIF(修正!A57:A68,G2,修正!C57:C68)</f>
        <v>0.4</v>
      </c>
      <c r="G38" s="171">
        <f>ROUND(IF(E2="工业",C38*$M$42,C38*$M$41),0)</f>
        <v>3119</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869"/>
      <c r="B39" s="2041" t="s">
        <v>3260</v>
      </c>
      <c r="C39" s="175">
        <f>ROUND(D5*C22*C23*C24*C28*F39,0)</f>
        <v>9357</v>
      </c>
      <c r="D39" s="2098"/>
      <c r="E39" s="171">
        <f t="shared" si="4"/>
        <v>0</v>
      </c>
      <c r="F39" s="171">
        <f>SUMIF(修正!A57:A68,G2,修正!D57:D68)</f>
        <v>0.3</v>
      </c>
      <c r="G39" s="171">
        <f>ROUND(IF(E2="工业",C39*$M$42,C39*$M$41),0)</f>
        <v>2339</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2036</v>
      </c>
      <c r="C40" s="171">
        <f>ROUND(D5*C22*C23*C24*C28*F40,0)</f>
        <v>9357</v>
      </c>
      <c r="D40" s="2098"/>
      <c r="E40" s="171">
        <f t="shared" si="4"/>
        <v>0</v>
      </c>
      <c r="F40" s="175">
        <f>SUMIF(修正!A57:A68,G2,修正!E57:E68)</f>
        <v>0.3</v>
      </c>
      <c r="G40" s="171">
        <f>ROUND(IF(E2="工业",C40*$M$42,C40*$M$41),0)</f>
        <v>2339</v>
      </c>
      <c r="H40" s="171">
        <f t="shared" si="5"/>
        <v>0</v>
      </c>
      <c r="I40" s="171">
        <f t="shared" si="6"/>
        <v>0</v>
      </c>
      <c r="J40" s="2114"/>
      <c r="L40" s="2116" t="s">
        <v>2037</v>
      </c>
      <c r="M40" s="2117"/>
      <c r="Z40" s="1120"/>
      <c r="AA40" s="1120"/>
      <c r="AB40" s="1120"/>
      <c r="AC40" s="1120"/>
      <c r="AD40" s="1120"/>
      <c r="AE40" s="1120"/>
      <c r="AF40" s="1120"/>
      <c r="AG40" s="1120"/>
      <c r="AH40" s="1120"/>
      <c r="AI40" s="1120"/>
      <c r="AJ40" s="1120"/>
    </row>
    <row r="41" spans="1:37" s="1119" customFormat="1">
      <c r="A41" s="2115"/>
      <c r="B41" s="2041" t="s">
        <v>2038</v>
      </c>
      <c r="C41" s="171">
        <f>ROUND(D5*C22*C23*C44*C28*F41,0)</f>
        <v>0</v>
      </c>
      <c r="D41" s="2098"/>
      <c r="E41" s="171">
        <f t="shared" si="4"/>
        <v>0</v>
      </c>
      <c r="F41" s="175">
        <f>SUMIF(修正!A57:A68,G2,修正!F57:F68)</f>
        <v>0.3</v>
      </c>
      <c r="G41" s="171">
        <f>ROUND(IF(E2="工业",C41*$M$42,C41*$M$41),0)</f>
        <v>0</v>
      </c>
      <c r="H41" s="171">
        <f t="shared" si="5"/>
        <v>0</v>
      </c>
      <c r="I41" s="171">
        <f t="shared" si="6"/>
        <v>0</v>
      </c>
      <c r="J41" s="2114"/>
      <c r="L41" s="3360" t="s">
        <v>3268</v>
      </c>
      <c r="M41" s="2118">
        <v>0.25</v>
      </c>
      <c r="Z41" s="1120"/>
      <c r="AA41" s="1120"/>
      <c r="AB41" s="1120"/>
      <c r="AC41" s="1120"/>
      <c r="AD41" s="1120"/>
      <c r="AE41" s="1120"/>
      <c r="AF41" s="1120"/>
      <c r="AG41" s="1120"/>
      <c r="AH41" s="1120"/>
      <c r="AI41" s="1120"/>
      <c r="AJ41" s="1120"/>
    </row>
    <row r="42" spans="1:37" s="1119" customFormat="1" ht="13.5" thickBot="1">
      <c r="A42" s="2101"/>
      <c r="B42" s="2119" t="s">
        <v>2039</v>
      </c>
      <c r="C42" s="187">
        <f>ROUND(D5*C22*C23*C44*C28*F42,0)</f>
        <v>0</v>
      </c>
      <c r="D42" s="2103"/>
      <c r="E42" s="187">
        <f t="shared" si="4"/>
        <v>0</v>
      </c>
      <c r="F42" s="767">
        <f>SUMIF(修正!A57:A68,G2,修正!G57:G68)</f>
        <v>0.2</v>
      </c>
      <c r="G42" s="187">
        <f>ROUND(IF(E2="工业",C42*$M$42,C42*$M$41),0)</f>
        <v>0</v>
      </c>
      <c r="H42" s="187">
        <f t="shared" si="5"/>
        <v>0</v>
      </c>
      <c r="I42" s="187">
        <f t="shared" si="6"/>
        <v>0</v>
      </c>
      <c r="J42" s="2120"/>
      <c r="L42" s="2121" t="s">
        <v>1991</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2119</v>
      </c>
      <c r="C44" s="342">
        <f>ROUND(POWER(1+E44,H44-G44)*(POWER(1+E44,G44)-1)/(POWER(1+E44,H44)-1),4)</f>
        <v>0</v>
      </c>
      <c r="D44" s="171" t="s">
        <v>1997</v>
      </c>
      <c r="E44" s="2153">
        <f>G24</f>
        <v>5.5E-2</v>
      </c>
      <c r="F44" s="171" t="s">
        <v>2006</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2040</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hidden="1">
      <c r="A48" s="2126" t="s">
        <v>2041</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2042</v>
      </c>
      <c r="B49" s="1351" t="s">
        <v>2043</v>
      </c>
      <c r="C49" s="1351" t="s">
        <v>2044</v>
      </c>
      <c r="D49" s="1351" t="s">
        <v>2045</v>
      </c>
      <c r="E49" s="743" t="s">
        <v>2046</v>
      </c>
      <c r="F49" s="2131" t="s">
        <v>2047</v>
      </c>
      <c r="G49" s="1351" t="s">
        <v>310</v>
      </c>
      <c r="H49" s="2132" t="s">
        <v>2048</v>
      </c>
      <c r="I49" s="1351" t="s">
        <v>2049</v>
      </c>
      <c r="J49" s="552" t="s">
        <v>1719</v>
      </c>
      <c r="K49" s="552" t="s">
        <v>1720</v>
      </c>
      <c r="L49" s="552" t="s">
        <v>1721</v>
      </c>
      <c r="M49" s="552" t="s">
        <v>1722</v>
      </c>
      <c r="N49" s="552" t="s">
        <v>1723</v>
      </c>
      <c r="AA49" s="1120"/>
      <c r="AB49" s="1120"/>
      <c r="AC49" s="1120"/>
      <c r="AD49" s="1120"/>
      <c r="AE49" s="1120"/>
      <c r="AF49" s="1120"/>
      <c r="AG49" s="1120"/>
      <c r="AH49" s="1120"/>
      <c r="AI49" s="1120"/>
      <c r="AJ49" s="1120"/>
      <c r="AK49" s="1120"/>
    </row>
    <row r="50" spans="1:37" s="1119" customFormat="1" ht="38.25" hidden="1">
      <c r="A50" s="2130" t="s">
        <v>2050</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30" t="s">
        <v>2051</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69" t="s">
        <v>3270</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30" t="s">
        <v>2052</v>
      </c>
      <c r="B53" s="2135" t="s">
        <v>2053</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30" t="s">
        <v>2054</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30" t="s">
        <v>2055</v>
      </c>
      <c r="B55" s="2136" t="s">
        <v>2056</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7" t="s">
        <v>2057</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7" t="s">
        <v>2058</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8" t="s">
        <v>2059</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2060</v>
      </c>
      <c r="B59" s="2127">
        <f>1+E61</f>
        <v>1.0854999999999999</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2042</v>
      </c>
      <c r="B60" s="1351"/>
      <c r="C60" s="1351" t="s">
        <v>2044</v>
      </c>
      <c r="D60" s="1351" t="s">
        <v>2045</v>
      </c>
      <c r="E60" s="743" t="s">
        <v>2046</v>
      </c>
      <c r="F60" s="2131" t="s">
        <v>2061</v>
      </c>
      <c r="G60" s="1351" t="s">
        <v>310</v>
      </c>
      <c r="H60" s="2132" t="s">
        <v>2048</v>
      </c>
      <c r="I60" s="1351" t="s">
        <v>2049</v>
      </c>
      <c r="J60" s="552" t="s">
        <v>1719</v>
      </c>
      <c r="K60" s="552" t="s">
        <v>1720</v>
      </c>
      <c r="L60" s="552" t="s">
        <v>1721</v>
      </c>
      <c r="M60" s="552" t="s">
        <v>1722</v>
      </c>
      <c r="N60" s="552" t="s">
        <v>1723</v>
      </c>
      <c r="AA60" s="1120"/>
      <c r="AB60" s="1120"/>
      <c r="AC60" s="1120"/>
      <c r="AD60" s="1120"/>
      <c r="AE60" s="1120"/>
      <c r="AF60" s="1120"/>
      <c r="AG60" s="1120"/>
      <c r="AH60" s="1120"/>
      <c r="AI60" s="1120"/>
      <c r="AJ60" s="1120"/>
      <c r="AK60" s="1120"/>
    </row>
    <row r="61" spans="1:37" s="1119" customFormat="1" ht="38.25">
      <c r="A61" s="2130" t="s">
        <v>2062</v>
      </c>
      <c r="B61" s="2133" t="str">
        <f>估价对象房地状况!C17</f>
        <v>估价对象位于XX商圈，周边办公楼项目较多，入驻率高，办公集聚程度较好</v>
      </c>
      <c r="C61" s="2044" t="s">
        <v>3551</v>
      </c>
      <c r="D61" s="1065">
        <f t="shared" ref="D61:D69" si="12">SUMIF($J$60:$N$60,C61,J61:N61)</f>
        <v>2.5000000000000001E-2</v>
      </c>
      <c r="E61" s="744">
        <f>ROUND(SUM(D61:D69),4)</f>
        <v>8.5500000000000007E-2</v>
      </c>
      <c r="F61" s="1814">
        <f>IF(E2="办公",SUMIF(L1:L12,G2,N1:N12),"——")</f>
        <v>0.1</v>
      </c>
      <c r="G61" s="1063">
        <f>H61</f>
        <v>1.2500000000000001E-2</v>
      </c>
      <c r="H61" s="1066">
        <f t="shared" ref="H61:H69" si="13">IFERROR(ROUNDDOWN($F$61*I61/2,4),"——")</f>
        <v>1.2500000000000001E-2</v>
      </c>
      <c r="I61" s="3367">
        <v>0.25</v>
      </c>
      <c r="J61" s="1064">
        <f t="shared" ref="J61:J69" si="14">K61+$G61</f>
        <v>2.5000000000000001E-2</v>
      </c>
      <c r="K61" s="1064">
        <f t="shared" ref="K61:K69" si="15">$L61+$G61</f>
        <v>1.2500000000000001E-2</v>
      </c>
      <c r="L61" s="1064">
        <v>0</v>
      </c>
      <c r="M61" s="1064">
        <f t="shared" ref="M61:N69" si="16">L61-$G61</f>
        <v>-1.2500000000000001E-2</v>
      </c>
      <c r="N61" s="1064">
        <f t="shared" si="16"/>
        <v>-2.5000000000000001E-2</v>
      </c>
      <c r="AA61" s="1120"/>
      <c r="AB61" s="1120"/>
      <c r="AC61" s="1120"/>
      <c r="AD61" s="1120"/>
      <c r="AE61" s="1120"/>
      <c r="AF61" s="1120"/>
      <c r="AG61" s="1120"/>
      <c r="AH61" s="1120"/>
      <c r="AI61" s="1120"/>
      <c r="AJ61" s="1120"/>
      <c r="AK61" s="1120"/>
    </row>
    <row r="62" spans="1:37" s="1119" customFormat="1" ht="38.25">
      <c r="A62" s="2130" t="s">
        <v>2051</v>
      </c>
      <c r="B62" s="2134" t="str">
        <f>估价对象房地状况!C18</f>
        <v>估价对象周边道路状况、公共交通通达情况、停车便捷程度，综合评价交通便捷度较好</v>
      </c>
      <c r="C62" s="2044" t="s">
        <v>3551</v>
      </c>
      <c r="D62" s="1065">
        <f t="shared" si="12"/>
        <v>2.5999999999999999E-2</v>
      </c>
      <c r="E62" s="745"/>
      <c r="F62" s="1814"/>
      <c r="G62" s="1063">
        <f t="shared" ref="G62:G69" si="17">H62</f>
        <v>1.2999999999999999E-2</v>
      </c>
      <c r="H62" s="1066">
        <f t="shared" si="13"/>
        <v>1.2999999999999999E-2</v>
      </c>
      <c r="I62" s="3367">
        <v>0.26</v>
      </c>
      <c r="J62" s="1064">
        <f t="shared" si="14"/>
        <v>2.5999999999999999E-2</v>
      </c>
      <c r="K62" s="1064">
        <f t="shared" si="15"/>
        <v>1.2999999999999999E-2</v>
      </c>
      <c r="L62" s="1064">
        <v>0</v>
      </c>
      <c r="M62" s="1064">
        <f t="shared" si="16"/>
        <v>-1.2999999999999999E-2</v>
      </c>
      <c r="N62" s="1064">
        <f t="shared" si="16"/>
        <v>-2.5999999999999999E-2</v>
      </c>
      <c r="AA62" s="1120"/>
      <c r="AB62" s="1120"/>
      <c r="AC62" s="1120"/>
      <c r="AD62" s="1120"/>
      <c r="AE62" s="1120"/>
      <c r="AF62" s="1120"/>
      <c r="AG62" s="1120"/>
      <c r="AH62" s="1120"/>
      <c r="AI62" s="1120"/>
      <c r="AJ62" s="1120"/>
      <c r="AK62" s="1120"/>
    </row>
    <row r="63" spans="1:37" s="1119" customFormat="1" ht="36">
      <c r="A63" s="3369" t="s">
        <v>3270</v>
      </c>
      <c r="B63" s="2134">
        <f>估价对象房地状况!C19</f>
        <v>0</v>
      </c>
      <c r="C63" s="2044" t="s">
        <v>3551</v>
      </c>
      <c r="D63" s="1065">
        <f t="shared" si="12"/>
        <v>1.0999999999999999E-2</v>
      </c>
      <c r="E63" s="745"/>
      <c r="F63" s="1814"/>
      <c r="G63" s="1063">
        <f t="shared" si="17"/>
        <v>5.4999999999999997E-3</v>
      </c>
      <c r="H63" s="1066">
        <f t="shared" si="13"/>
        <v>5.4999999999999997E-3</v>
      </c>
      <c r="I63" s="3367">
        <v>0.11</v>
      </c>
      <c r="J63" s="1064">
        <f t="shared" si="14"/>
        <v>1.0999999999999999E-2</v>
      </c>
      <c r="K63" s="1064">
        <f t="shared" si="15"/>
        <v>5.4999999999999997E-3</v>
      </c>
      <c r="L63" s="1064">
        <v>0</v>
      </c>
      <c r="M63" s="1064">
        <f t="shared" si="16"/>
        <v>-5.4999999999999997E-3</v>
      </c>
      <c r="N63" s="1064">
        <f t="shared" si="16"/>
        <v>-1.0999999999999999E-2</v>
      </c>
      <c r="AA63" s="1120"/>
      <c r="AB63" s="1120"/>
      <c r="AC63" s="1120"/>
      <c r="AD63" s="1120"/>
      <c r="AE63" s="1120"/>
      <c r="AF63" s="1120"/>
      <c r="AG63" s="1120"/>
      <c r="AH63" s="1120"/>
      <c r="AI63" s="1120"/>
      <c r="AJ63" s="1120"/>
      <c r="AK63" s="1120"/>
    </row>
    <row r="64" spans="1:37" s="1119" customFormat="1" ht="36.75">
      <c r="A64" s="2130" t="s">
        <v>2052</v>
      </c>
      <c r="B64" s="2135" t="s">
        <v>2053</v>
      </c>
      <c r="C64" s="2044" t="s">
        <v>3552</v>
      </c>
      <c r="D64" s="1065">
        <f t="shared" si="12"/>
        <v>2.5000000000000001E-3</v>
      </c>
      <c r="E64" s="745"/>
      <c r="F64" s="1814"/>
      <c r="G64" s="1063">
        <f t="shared" si="17"/>
        <v>2.5000000000000001E-3</v>
      </c>
      <c r="H64" s="1066">
        <f t="shared" si="13"/>
        <v>2.5000000000000001E-3</v>
      </c>
      <c r="I64" s="3367">
        <v>0.05</v>
      </c>
      <c r="J64" s="1064">
        <f t="shared" si="14"/>
        <v>5.0000000000000001E-3</v>
      </c>
      <c r="K64" s="1064">
        <f t="shared" si="15"/>
        <v>2.5000000000000001E-3</v>
      </c>
      <c r="L64" s="1064">
        <v>0</v>
      </c>
      <c r="M64" s="1064">
        <f t="shared" si="16"/>
        <v>-2.5000000000000001E-3</v>
      </c>
      <c r="N64" s="1064">
        <f t="shared" si="16"/>
        <v>-5.0000000000000001E-3</v>
      </c>
      <c r="AA64" s="1120"/>
      <c r="AB64" s="1120"/>
      <c r="AC64" s="1120"/>
      <c r="AD64" s="1120"/>
      <c r="AE64" s="1120"/>
      <c r="AF64" s="1120"/>
      <c r="AG64" s="1120"/>
      <c r="AH64" s="1120"/>
      <c r="AI64" s="1120"/>
      <c r="AJ64" s="1120"/>
      <c r="AK64" s="1120"/>
    </row>
    <row r="65" spans="1:37" s="1119" customFormat="1" ht="24">
      <c r="A65" s="2130" t="s">
        <v>2054</v>
      </c>
      <c r="B65" s="2134">
        <f>估价对象房地状况!C24</f>
        <v>0</v>
      </c>
      <c r="C65" s="2044" t="s">
        <v>3552</v>
      </c>
      <c r="D65" s="1065">
        <f t="shared" si="12"/>
        <v>2.5000000000000001E-3</v>
      </c>
      <c r="E65" s="745"/>
      <c r="F65" s="1814"/>
      <c r="G65" s="1063">
        <f t="shared" si="17"/>
        <v>2.5000000000000001E-3</v>
      </c>
      <c r="H65" s="1066">
        <f t="shared" si="13"/>
        <v>2.5000000000000001E-3</v>
      </c>
      <c r="I65" s="3367">
        <v>0.05</v>
      </c>
      <c r="J65" s="1064">
        <f t="shared" si="14"/>
        <v>5.0000000000000001E-3</v>
      </c>
      <c r="K65" s="1064">
        <f t="shared" si="15"/>
        <v>2.5000000000000001E-3</v>
      </c>
      <c r="L65" s="1064">
        <v>0</v>
      </c>
      <c r="M65" s="1064">
        <f t="shared" si="16"/>
        <v>-2.5000000000000001E-3</v>
      </c>
      <c r="N65" s="1064">
        <f t="shared" si="16"/>
        <v>-5.0000000000000001E-3</v>
      </c>
      <c r="AA65" s="1120"/>
      <c r="AB65" s="1120"/>
      <c r="AC65" s="1120"/>
      <c r="AD65" s="1120"/>
      <c r="AE65" s="1120"/>
      <c r="AF65" s="1120"/>
      <c r="AG65" s="1120"/>
      <c r="AH65" s="1120"/>
      <c r="AI65" s="1120"/>
      <c r="AJ65" s="1120"/>
      <c r="AK65" s="1120"/>
    </row>
    <row r="66" spans="1:37" s="1119" customFormat="1" ht="24">
      <c r="A66" s="2130" t="s">
        <v>2055</v>
      </c>
      <c r="B66" s="2136" t="s">
        <v>2056</v>
      </c>
      <c r="C66" s="2044" t="s">
        <v>3552</v>
      </c>
      <c r="D66" s="1065">
        <f t="shared" si="12"/>
        <v>3.0000000000000001E-3</v>
      </c>
      <c r="E66" s="745"/>
      <c r="F66" s="1814"/>
      <c r="G66" s="1063">
        <f t="shared" si="17"/>
        <v>3.0000000000000001E-3</v>
      </c>
      <c r="H66" s="1066">
        <f t="shared" si="13"/>
        <v>3.0000000000000001E-3</v>
      </c>
      <c r="I66" s="3367">
        <v>0.06</v>
      </c>
      <c r="J66" s="1064">
        <f t="shared" si="14"/>
        <v>6.0000000000000001E-3</v>
      </c>
      <c r="K66" s="1064">
        <f t="shared" si="15"/>
        <v>3.0000000000000001E-3</v>
      </c>
      <c r="L66" s="1064">
        <v>0</v>
      </c>
      <c r="M66" s="1064">
        <f t="shared" si="16"/>
        <v>-3.0000000000000001E-3</v>
      </c>
      <c r="N66" s="1064">
        <f t="shared" si="16"/>
        <v>-6.0000000000000001E-3</v>
      </c>
      <c r="AA66" s="1120"/>
      <c r="AB66" s="1120"/>
      <c r="AC66" s="1120"/>
      <c r="AD66" s="1120"/>
      <c r="AE66" s="1120"/>
      <c r="AF66" s="1120"/>
      <c r="AG66" s="1120"/>
      <c r="AH66" s="1120"/>
      <c r="AI66" s="1120"/>
      <c r="AJ66" s="1120"/>
      <c r="AK66" s="1120"/>
    </row>
    <row r="67" spans="1:37" s="1119" customFormat="1" ht="25.5">
      <c r="A67" s="2130" t="s">
        <v>2057</v>
      </c>
      <c r="B67" s="1326" t="str">
        <f>估价对象房地状况!C21</f>
        <v>估价对象所在区域公共配套设施齐备情况</v>
      </c>
      <c r="C67" s="2044" t="s">
        <v>3552</v>
      </c>
      <c r="D67" s="1065">
        <f t="shared" si="12"/>
        <v>3.0000000000000001E-3</v>
      </c>
      <c r="E67" s="745"/>
      <c r="F67" s="1814"/>
      <c r="G67" s="1063">
        <f t="shared" si="17"/>
        <v>3.0000000000000001E-3</v>
      </c>
      <c r="H67" s="1066">
        <f t="shared" si="13"/>
        <v>3.0000000000000001E-3</v>
      </c>
      <c r="I67" s="3367">
        <v>0.06</v>
      </c>
      <c r="J67" s="1064">
        <f t="shared" si="14"/>
        <v>6.0000000000000001E-3</v>
      </c>
      <c r="K67" s="1064">
        <f t="shared" si="15"/>
        <v>3.0000000000000001E-3</v>
      </c>
      <c r="L67" s="1064">
        <v>0</v>
      </c>
      <c r="M67" s="1064">
        <f t="shared" si="16"/>
        <v>-3.0000000000000001E-3</v>
      </c>
      <c r="N67" s="1064">
        <f t="shared" si="16"/>
        <v>-6.0000000000000001E-3</v>
      </c>
      <c r="AA67" s="1120"/>
      <c r="AB67" s="1120"/>
      <c r="AC67" s="1120"/>
      <c r="AD67" s="1120"/>
      <c r="AE67" s="1120"/>
      <c r="AF67" s="1120"/>
      <c r="AG67" s="1120"/>
      <c r="AH67" s="1120"/>
      <c r="AI67" s="1120"/>
      <c r="AJ67" s="1120"/>
      <c r="AK67" s="1120"/>
    </row>
    <row r="68" spans="1:37" s="1119" customFormat="1" ht="25.5">
      <c r="A68" s="2130" t="s">
        <v>2058</v>
      </c>
      <c r="B68" s="1326" t="str">
        <f>估价对象房地状况!C22</f>
        <v>估价对象所在区域基础设施水平</v>
      </c>
      <c r="C68" s="2044" t="s">
        <v>3551</v>
      </c>
      <c r="D68" s="1065">
        <f t="shared" si="12"/>
        <v>8.9999999999999993E-3</v>
      </c>
      <c r="E68" s="745"/>
      <c r="F68" s="1814"/>
      <c r="G68" s="1063">
        <f t="shared" si="17"/>
        <v>4.4999999999999997E-3</v>
      </c>
      <c r="H68" s="1066">
        <f t="shared" si="13"/>
        <v>4.4999999999999997E-3</v>
      </c>
      <c r="I68" s="3367">
        <v>0.09</v>
      </c>
      <c r="J68" s="1064">
        <f t="shared" si="14"/>
        <v>8.9999999999999993E-3</v>
      </c>
      <c r="K68" s="1064">
        <f t="shared" si="15"/>
        <v>4.4999999999999997E-3</v>
      </c>
      <c r="L68" s="1064">
        <v>0</v>
      </c>
      <c r="M68" s="1064">
        <f t="shared" si="16"/>
        <v>-4.4999999999999997E-3</v>
      </c>
      <c r="N68" s="1064">
        <f t="shared" si="16"/>
        <v>-8.9999999999999993E-3</v>
      </c>
      <c r="AA68" s="1120"/>
      <c r="AB68" s="1120"/>
      <c r="AC68" s="1120"/>
      <c r="AD68" s="1120"/>
      <c r="AE68" s="1120"/>
      <c r="AF68" s="1120"/>
      <c r="AG68" s="1120"/>
      <c r="AH68" s="1120"/>
      <c r="AI68" s="1120"/>
      <c r="AJ68" s="1120"/>
      <c r="AK68" s="1120"/>
    </row>
    <row r="69" spans="1:37" s="1119" customFormat="1" ht="26.25" thickBot="1">
      <c r="A69" s="2138" t="s">
        <v>2059</v>
      </c>
      <c r="B69" s="2140" t="str">
        <f>估价对象房地状况!C20</f>
        <v>区域自然环境：；人文环境；综合评价环境状况一般</v>
      </c>
      <c r="C69" s="2044" t="s">
        <v>3552</v>
      </c>
      <c r="D69" s="1065">
        <f t="shared" si="12"/>
        <v>3.5000000000000001E-3</v>
      </c>
      <c r="E69" s="746"/>
      <c r="F69" s="1814"/>
      <c r="G69" s="1063">
        <f t="shared" si="17"/>
        <v>3.5000000000000001E-3</v>
      </c>
      <c r="H69" s="1066">
        <f t="shared" si="13"/>
        <v>3.5000000000000001E-3</v>
      </c>
      <c r="I69" s="3368">
        <v>7.0000000000000007E-2</v>
      </c>
      <c r="J69" s="1064">
        <f t="shared" si="14"/>
        <v>7.0000000000000001E-3</v>
      </c>
      <c r="K69" s="1064">
        <f t="shared" si="15"/>
        <v>3.5000000000000001E-3</v>
      </c>
      <c r="L69" s="1064">
        <v>0</v>
      </c>
      <c r="M69" s="1064">
        <f t="shared" si="16"/>
        <v>-3.5000000000000001E-3</v>
      </c>
      <c r="N69" s="1064">
        <f t="shared" si="16"/>
        <v>-7.0000000000000001E-3</v>
      </c>
      <c r="AA69" s="1120"/>
      <c r="AB69" s="1120"/>
      <c r="AC69" s="1120"/>
      <c r="AD69" s="1120"/>
      <c r="AE69" s="1120"/>
      <c r="AF69" s="1120"/>
      <c r="AG69" s="1120"/>
      <c r="AH69" s="1120"/>
      <c r="AI69" s="1120"/>
      <c r="AJ69" s="1120"/>
      <c r="AK69" s="1120"/>
    </row>
    <row r="70" spans="1:37" s="1119" customFormat="1" ht="15">
      <c r="A70" s="2126" t="s">
        <v>2063</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2042</v>
      </c>
      <c r="B71" s="1351"/>
      <c r="C71" s="1351" t="s">
        <v>2044</v>
      </c>
      <c r="D71" s="1351" t="s">
        <v>2045</v>
      </c>
      <c r="E71" s="743" t="s">
        <v>2046</v>
      </c>
      <c r="F71" s="2131" t="s">
        <v>2061</v>
      </c>
      <c r="G71" s="1351" t="s">
        <v>310</v>
      </c>
      <c r="H71" s="2132" t="s">
        <v>2048</v>
      </c>
      <c r="I71" s="1351" t="s">
        <v>2049</v>
      </c>
      <c r="J71" s="552" t="s">
        <v>1719</v>
      </c>
      <c r="K71" s="552" t="s">
        <v>1720</v>
      </c>
      <c r="L71" s="552" t="s">
        <v>1721</v>
      </c>
      <c r="M71" s="552" t="s">
        <v>1722</v>
      </c>
      <c r="N71" s="552" t="s">
        <v>1723</v>
      </c>
      <c r="AA71" s="1120"/>
      <c r="AB71" s="1120"/>
      <c r="AC71" s="1120"/>
      <c r="AD71" s="1120"/>
      <c r="AE71" s="1120"/>
      <c r="AF71" s="1120"/>
      <c r="AG71" s="1120"/>
      <c r="AH71" s="1120"/>
      <c r="AI71" s="1120"/>
      <c r="AJ71" s="1120"/>
      <c r="AK71" s="1120"/>
    </row>
    <row r="72" spans="1:37" s="1119" customFormat="1" ht="51">
      <c r="A72" s="2130" t="s">
        <v>2064</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2051</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3270</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2065</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2057</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2058</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2055</v>
      </c>
      <c r="B78" s="2136" t="s">
        <v>2056</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2059</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2066</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2067</v>
      </c>
      <c r="B81" s="2127">
        <f>1+E83</f>
        <v>1</v>
      </c>
      <c r="C81" s="741"/>
      <c r="D81" s="741"/>
      <c r="E81" s="742"/>
      <c r="F81" s="2129"/>
      <c r="G81" s="3"/>
      <c r="H81" s="3"/>
      <c r="I81" s="3"/>
      <c r="J81" s="4"/>
      <c r="K81" s="4"/>
      <c r="L81" s="4"/>
      <c r="M81" s="4"/>
      <c r="N81" s="4"/>
      <c r="Z81" s="1998"/>
      <c r="AA81" s="2053"/>
      <c r="AG81" s="1121"/>
      <c r="AK81" s="2053"/>
    </row>
    <row r="82" spans="1:37" ht="24.75">
      <c r="A82" s="2130" t="s">
        <v>2042</v>
      </c>
      <c r="B82" s="1351"/>
      <c r="C82" s="1351" t="s">
        <v>2044</v>
      </c>
      <c r="D82" s="1351" t="s">
        <v>2045</v>
      </c>
      <c r="E82" s="743" t="s">
        <v>2046</v>
      </c>
      <c r="F82" s="2131" t="s">
        <v>2061</v>
      </c>
      <c r="G82" s="1351" t="s">
        <v>310</v>
      </c>
      <c r="H82" s="2132" t="s">
        <v>2048</v>
      </c>
      <c r="I82" s="1351" t="s">
        <v>2049</v>
      </c>
      <c r="J82" s="552" t="s">
        <v>1719</v>
      </c>
      <c r="K82" s="552" t="s">
        <v>1720</v>
      </c>
      <c r="L82" s="552" t="s">
        <v>1721</v>
      </c>
      <c r="M82" s="552" t="s">
        <v>1722</v>
      </c>
      <c r="N82" s="552" t="s">
        <v>1723</v>
      </c>
      <c r="Z82" s="1998"/>
      <c r="AA82" s="2053"/>
      <c r="AG82" s="1121"/>
      <c r="AK82" s="2053"/>
    </row>
    <row r="83" spans="1:37" ht="38.25">
      <c r="A83" s="2130" t="s">
        <v>2068</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2051</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3271</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2065</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2057</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2058</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2055</v>
      </c>
      <c r="B89" s="2136" t="s">
        <v>2069</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2070</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2613</v>
      </c>
      <c r="B91" s="3378">
        <f>1+E93</f>
        <v>1</v>
      </c>
      <c r="C91" s="3371"/>
      <c r="D91" s="3372"/>
      <c r="E91" s="1814"/>
      <c r="F91" s="1814"/>
      <c r="G91" s="3373"/>
      <c r="H91" s="3374"/>
      <c r="I91" s="3375"/>
      <c r="J91" s="3376"/>
      <c r="K91" s="3376"/>
      <c r="L91" s="3376"/>
      <c r="M91" s="3376"/>
      <c r="N91" s="3376"/>
    </row>
    <row r="92" spans="1:37" ht="24.75">
      <c r="A92" s="3379" t="s">
        <v>3272</v>
      </c>
      <c r="B92" s="3366"/>
      <c r="C92" s="3366" t="s">
        <v>3281</v>
      </c>
      <c r="D92" s="3366" t="s">
        <v>3282</v>
      </c>
      <c r="E92" s="3348" t="s">
        <v>3283</v>
      </c>
      <c r="F92" s="3381" t="s">
        <v>3284</v>
      </c>
      <c r="G92" s="3366" t="s">
        <v>3285</v>
      </c>
      <c r="H92" s="3388" t="s">
        <v>3288</v>
      </c>
      <c r="I92" s="3366" t="s">
        <v>3289</v>
      </c>
      <c r="J92" s="3389" t="s">
        <v>3290</v>
      </c>
      <c r="K92" s="3389" t="s">
        <v>3291</v>
      </c>
      <c r="L92" s="3389" t="s">
        <v>3292</v>
      </c>
      <c r="M92" s="3389" t="s">
        <v>3293</v>
      </c>
      <c r="N92" s="3389" t="s">
        <v>3294</v>
      </c>
    </row>
    <row r="93" spans="1:37" ht="24">
      <c r="A93" s="3369" t="s">
        <v>3273</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3274</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3270</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3275</v>
      </c>
      <c r="B96" s="3385" t="s">
        <v>3286</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3276</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3277</v>
      </c>
      <c r="B98" s="3386" t="s">
        <v>3287</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3278</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3279</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3280</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866" t="s">
        <v>3295</v>
      </c>
      <c r="B103" s="3866"/>
      <c r="C103" s="3866"/>
      <c r="D103" s="3866"/>
      <c r="E103" s="3866"/>
      <c r="F103" s="3866"/>
      <c r="G103" s="3866"/>
      <c r="H103" s="3866"/>
      <c r="I103" s="3866"/>
      <c r="J103" s="3866"/>
      <c r="K103" s="3390"/>
      <c r="L103" s="3390"/>
      <c r="M103" s="3390"/>
      <c r="N103" s="3390"/>
    </row>
    <row r="104" spans="1:14">
      <c r="A104" s="3867" t="s">
        <v>3296</v>
      </c>
      <c r="B104" s="3867" t="s">
        <v>3297</v>
      </c>
      <c r="C104" s="3391" t="s">
        <v>3298</v>
      </c>
      <c r="D104" s="3392"/>
      <c r="E104" s="3392"/>
      <c r="F104" s="3392"/>
      <c r="G104" s="3392"/>
      <c r="H104" s="3392"/>
      <c r="I104" s="3392"/>
      <c r="J104" s="3393"/>
      <c r="K104" s="3394"/>
      <c r="L104" s="3394"/>
      <c r="M104" s="3394"/>
      <c r="N104" s="3394"/>
    </row>
    <row r="105" spans="1:14">
      <c r="A105" s="3867"/>
      <c r="B105" s="3867"/>
      <c r="C105" s="3395" t="s">
        <v>3299</v>
      </c>
      <c r="D105" s="3395" t="s">
        <v>3300</v>
      </c>
      <c r="E105" s="3395" t="s">
        <v>3301</v>
      </c>
      <c r="F105" s="3395" t="s">
        <v>3302</v>
      </c>
      <c r="G105" s="3395" t="s">
        <v>3303</v>
      </c>
      <c r="H105" s="3395" t="s">
        <v>3304</v>
      </c>
      <c r="I105" s="3395" t="s">
        <v>3305</v>
      </c>
      <c r="J105" s="3395" t="s">
        <v>3306</v>
      </c>
      <c r="K105" s="3395" t="s">
        <v>3307</v>
      </c>
      <c r="L105" s="3395" t="s">
        <v>3308</v>
      </c>
      <c r="M105" s="3395" t="s">
        <v>3309</v>
      </c>
      <c r="N105" s="3395" t="s">
        <v>3310</v>
      </c>
    </row>
    <row r="106" spans="1:14">
      <c r="A106" s="3853" t="s">
        <v>3311</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854"/>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854"/>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854"/>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854"/>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854"/>
      <c r="B111" s="3395" t="s">
        <v>3269</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855"/>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856" t="s">
        <v>3312</v>
      </c>
      <c r="B113" s="3856"/>
      <c r="C113" s="3856"/>
      <c r="D113" s="3856"/>
      <c r="E113" s="3856"/>
      <c r="F113" s="3856"/>
      <c r="G113" s="3856"/>
      <c r="H113" s="3856"/>
      <c r="I113" s="3856"/>
      <c r="J113" s="3856"/>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3313</v>
      </c>
      <c r="B116" s="3416">
        <f>G3</f>
        <v>3.5</v>
      </c>
      <c r="C116" s="3400" t="s">
        <v>3314</v>
      </c>
      <c r="D116" s="3401">
        <f>SUMPRODUCT((A118:A122=F116)*(B117:M117=H116)*B118:M122)</f>
        <v>0.95379999999999998</v>
      </c>
      <c r="E116" s="2000" t="s">
        <v>3315</v>
      </c>
      <c r="F116" s="3402" t="str">
        <f>E2</f>
        <v>办公</v>
      </c>
      <c r="G116" s="2000" t="s">
        <v>3316</v>
      </c>
      <c r="H116" s="3402" t="str">
        <f>G2</f>
        <v>二级</v>
      </c>
      <c r="I116" s="2000"/>
      <c r="J116" s="3403"/>
      <c r="K116" s="3403"/>
      <c r="L116" s="3403"/>
      <c r="M116" s="3403"/>
      <c r="N116" s="3398"/>
    </row>
    <row r="117" spans="1:14">
      <c r="A117" s="3404"/>
      <c r="B117" s="3405" t="s">
        <v>3317</v>
      </c>
      <c r="C117" s="3405" t="s">
        <v>3318</v>
      </c>
      <c r="D117" s="3405" t="s">
        <v>3319</v>
      </c>
      <c r="E117" s="3406" t="s">
        <v>3320</v>
      </c>
      <c r="F117" s="3406" t="s">
        <v>3321</v>
      </c>
      <c r="G117" s="3406" t="s">
        <v>3322</v>
      </c>
      <c r="H117" s="3407" t="s">
        <v>3323</v>
      </c>
      <c r="I117" s="3407" t="s">
        <v>3324</v>
      </c>
      <c r="J117" s="3408" t="s">
        <v>3325</v>
      </c>
      <c r="K117" s="3408" t="s">
        <v>3326</v>
      </c>
      <c r="L117" s="3408" t="s">
        <v>3327</v>
      </c>
      <c r="M117" s="3409" t="s">
        <v>3328</v>
      </c>
      <c r="N117" s="3398"/>
    </row>
    <row r="118" spans="1:14">
      <c r="A118" s="3410" t="s">
        <v>3329</v>
      </c>
      <c r="B118" s="3388">
        <f>ROUND(0.9968-0.011*B116,4)</f>
        <v>0.95830000000000004</v>
      </c>
      <c r="C118" s="3388">
        <f>B118</f>
        <v>0.95830000000000004</v>
      </c>
      <c r="D118" s="3388">
        <f>ROUND(0.949-0.014*B116,4)</f>
        <v>0.9</v>
      </c>
      <c r="E118" s="3388">
        <f>D118</f>
        <v>0.9</v>
      </c>
      <c r="F118" s="3388">
        <f>E118</f>
        <v>0.9</v>
      </c>
      <c r="G118" s="3388">
        <f>F118</f>
        <v>0.9</v>
      </c>
      <c r="H118" s="3388">
        <f>G118</f>
        <v>0.9</v>
      </c>
      <c r="I118" s="3388">
        <f>ROUND(0.8486-0.018*B116,4)</f>
        <v>0.78559999999999997</v>
      </c>
      <c r="J118" s="3388">
        <f t="shared" ref="J118:M122" si="36">I118</f>
        <v>0.78559999999999997</v>
      </c>
      <c r="K118" s="3388">
        <f t="shared" si="36"/>
        <v>0.78559999999999997</v>
      </c>
      <c r="L118" s="3388">
        <f t="shared" si="36"/>
        <v>0.78559999999999997</v>
      </c>
      <c r="M118" s="3411">
        <f t="shared" si="36"/>
        <v>0.78559999999999997</v>
      </c>
      <c r="N118" s="3398"/>
    </row>
    <row r="119" spans="1:14">
      <c r="A119" s="3410" t="s">
        <v>3330</v>
      </c>
      <c r="B119" s="3388">
        <f>ROUND(0.993-0.0112*B116,4)</f>
        <v>0.95379999999999998</v>
      </c>
      <c r="C119" s="3388">
        <f>B119</f>
        <v>0.95379999999999998</v>
      </c>
      <c r="D119" s="3388">
        <f>ROUND(0.9415-0.0142*B116,4)</f>
        <v>0.89180000000000004</v>
      </c>
      <c r="E119" s="3388">
        <f t="shared" ref="E119:H120" si="37">D119</f>
        <v>0.89180000000000004</v>
      </c>
      <c r="F119" s="3388">
        <f t="shared" si="37"/>
        <v>0.89180000000000004</v>
      </c>
      <c r="G119" s="3388">
        <f t="shared" si="37"/>
        <v>0.89180000000000004</v>
      </c>
      <c r="H119" s="3388">
        <f t="shared" si="37"/>
        <v>0.89180000000000004</v>
      </c>
      <c r="I119" s="3388">
        <f>ROUND(0.838-0.0182*B116,4)</f>
        <v>0.77429999999999999</v>
      </c>
      <c r="J119" s="3388">
        <f t="shared" si="36"/>
        <v>0.77429999999999999</v>
      </c>
      <c r="K119" s="3388">
        <f t="shared" si="36"/>
        <v>0.77429999999999999</v>
      </c>
      <c r="L119" s="3388">
        <f t="shared" si="36"/>
        <v>0.77429999999999999</v>
      </c>
      <c r="M119" s="3411">
        <f t="shared" si="36"/>
        <v>0.77429999999999999</v>
      </c>
      <c r="N119" s="3398"/>
    </row>
    <row r="120" spans="1:14">
      <c r="A120" s="3410" t="s">
        <v>3331</v>
      </c>
      <c r="B120" s="3388">
        <f>ROUND(0.9448-0.0115*B116,4)</f>
        <v>0.90459999999999996</v>
      </c>
      <c r="C120" s="3388">
        <f>B120</f>
        <v>0.90459999999999996</v>
      </c>
      <c r="D120" s="3388">
        <f>ROUND(0.937-0.0145*B116,4)</f>
        <v>0.88629999999999998</v>
      </c>
      <c r="E120" s="3388">
        <f t="shared" si="37"/>
        <v>0.88629999999999998</v>
      </c>
      <c r="F120" s="3388">
        <f t="shared" si="37"/>
        <v>0.88629999999999998</v>
      </c>
      <c r="G120" s="3388">
        <f t="shared" si="37"/>
        <v>0.88629999999999998</v>
      </c>
      <c r="H120" s="3388">
        <f t="shared" si="37"/>
        <v>0.88629999999999998</v>
      </c>
      <c r="I120" s="3388">
        <f>ROUND(0.7965-0.0185*B116,4)</f>
        <v>0.73180000000000001</v>
      </c>
      <c r="J120" s="3388">
        <f t="shared" si="36"/>
        <v>0.73180000000000001</v>
      </c>
      <c r="K120" s="3388">
        <f t="shared" si="36"/>
        <v>0.73180000000000001</v>
      </c>
      <c r="L120" s="3388">
        <f t="shared" si="36"/>
        <v>0.73180000000000001</v>
      </c>
      <c r="M120" s="3411">
        <f t="shared" si="36"/>
        <v>0.73180000000000001</v>
      </c>
      <c r="N120" s="3398"/>
    </row>
    <row r="121" spans="1:14" ht="13.5" thickBot="1">
      <c r="A121" s="3412" t="s">
        <v>3332</v>
      </c>
      <c r="B121" s="3413">
        <f>ROUND(0.7836-0.012*B116,4)</f>
        <v>0.74160000000000004</v>
      </c>
      <c r="C121" s="3413">
        <f>B121</f>
        <v>0.74160000000000004</v>
      </c>
      <c r="D121" s="3413">
        <f>ROUND(0.753-0.015*B116,4)</f>
        <v>0.70050000000000001</v>
      </c>
      <c r="E121" s="3413">
        <f>D121</f>
        <v>0.70050000000000001</v>
      </c>
      <c r="F121" s="3413">
        <f>E121</f>
        <v>0.70050000000000001</v>
      </c>
      <c r="G121" s="3413">
        <f>ROUND(0.6612-0.018*B116,4)</f>
        <v>0.59819999999999995</v>
      </c>
      <c r="H121" s="3413">
        <f>G121</f>
        <v>0.59819999999999995</v>
      </c>
      <c r="I121" s="3413">
        <f>ROUND(0.5905-0.019*B116,4)</f>
        <v>0.52400000000000002</v>
      </c>
      <c r="J121" s="3413">
        <f t="shared" si="36"/>
        <v>0.52400000000000002</v>
      </c>
      <c r="K121" s="3413">
        <f t="shared" si="36"/>
        <v>0.52400000000000002</v>
      </c>
      <c r="L121" s="3413">
        <f t="shared" si="36"/>
        <v>0.52400000000000002</v>
      </c>
      <c r="M121" s="3414">
        <f t="shared" si="36"/>
        <v>0.52400000000000002</v>
      </c>
      <c r="N121" s="3398"/>
    </row>
    <row r="122" spans="1:14">
      <c r="A122" s="3415" t="s">
        <v>2613</v>
      </c>
      <c r="B122" s="3388">
        <f>ROUND(0.9404-0.0106*B116,4)</f>
        <v>0.90329999999999999</v>
      </c>
      <c r="C122" s="3388">
        <f>B122</f>
        <v>0.90329999999999999</v>
      </c>
      <c r="D122" s="3388">
        <f>ROUND(0.8955-0.0135*B116,4)</f>
        <v>0.84830000000000005</v>
      </c>
      <c r="E122" s="3388">
        <f t="shared" ref="E122:H122" si="38">D122</f>
        <v>0.84830000000000005</v>
      </c>
      <c r="F122" s="3388">
        <f t="shared" si="38"/>
        <v>0.84830000000000005</v>
      </c>
      <c r="G122" s="3388">
        <f t="shared" si="38"/>
        <v>0.84830000000000005</v>
      </c>
      <c r="H122" s="3388">
        <f t="shared" si="38"/>
        <v>0.84830000000000005</v>
      </c>
      <c r="I122" s="3388">
        <f>ROUND(0.7632-0.0166*B116,4)</f>
        <v>0.70509999999999995</v>
      </c>
      <c r="J122" s="3388">
        <f t="shared" si="36"/>
        <v>0.70509999999999995</v>
      </c>
      <c r="K122" s="3388">
        <f t="shared" si="36"/>
        <v>0.70509999999999995</v>
      </c>
      <c r="L122" s="3388">
        <f t="shared" si="36"/>
        <v>0.70509999999999995</v>
      </c>
      <c r="M122" s="3411">
        <f t="shared" si="36"/>
        <v>0.70509999999999995</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12" priority="6" stopIfTrue="1" operator="notEqual">
      <formula>"——"</formula>
    </cfRule>
  </conditionalFormatting>
  <conditionalFormatting sqref="F61">
    <cfRule type="cellIs" dxfId="211" priority="5" stopIfTrue="1" operator="notEqual">
      <formula>"——"</formula>
    </cfRule>
  </conditionalFormatting>
  <conditionalFormatting sqref="F72">
    <cfRule type="cellIs" dxfId="210" priority="4" stopIfTrue="1" operator="notEqual">
      <formula>"——"</formula>
    </cfRule>
  </conditionalFormatting>
  <conditionalFormatting sqref="F83">
    <cfRule type="cellIs" dxfId="209" priority="3" stopIfTrue="1" operator="notEqual">
      <formula>"——"</formula>
    </cfRule>
  </conditionalFormatting>
  <conditionalFormatting sqref="H50:H58 H61:H69 H72:H80 H83:H91">
    <cfRule type="cellIs" dxfId="208" priority="2" operator="notEqual">
      <formula>"——"</formula>
    </cfRule>
  </conditionalFormatting>
  <conditionalFormatting sqref="H93:H101">
    <cfRule type="cellIs" dxfId="207"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I42" sqref="I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875</v>
      </c>
      <c r="B1" s="713"/>
      <c r="C1" s="1379" t="s">
        <v>3643</v>
      </c>
      <c r="D1" s="1362" t="s">
        <v>43</v>
      </c>
      <c r="E1" s="1363" t="s">
        <v>676</v>
      </c>
      <c r="F1" s="1062">
        <f ca="1">J53</f>
        <v>30.86</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802</v>
      </c>
      <c r="B2" s="1386">
        <f ca="1">C40+J29+L46</f>
        <v>3211</v>
      </c>
      <c r="C2" s="1387" t="s">
        <v>803</v>
      </c>
      <c r="D2" s="1387"/>
      <c r="E2" s="1388"/>
      <c r="F2" s="1389"/>
      <c r="G2" s="2706"/>
      <c r="H2" s="2695"/>
      <c r="I2" s="2695"/>
      <c r="J2" s="2695"/>
      <c r="K2" s="2696"/>
      <c r="L2" s="2695"/>
      <c r="M2" s="2695"/>
    </row>
    <row r="3" spans="1:37" ht="18" customHeight="1" thickBot="1">
      <c r="A3" s="1390" t="s">
        <v>804</v>
      </c>
      <c r="B3" s="1391">
        <f ca="1">IF(ISERROR(B2*10000/F43),0,ROUND(B2*10000/F43,0))</f>
        <v>27487</v>
      </c>
      <c r="C3" s="1387" t="s">
        <v>805</v>
      </c>
      <c r="D3" s="1387"/>
      <c r="E3" s="1388"/>
      <c r="F3" s="1389"/>
      <c r="G3" s="2706"/>
      <c r="H3" s="683" t="s">
        <v>874</v>
      </c>
      <c r="I3" s="1382"/>
      <c r="J3" s="1382"/>
      <c r="K3" s="1383"/>
      <c r="L3" s="1382"/>
      <c r="M3" s="1382"/>
    </row>
    <row r="4" spans="1:37" ht="18" customHeight="1">
      <c r="A4" s="295" t="s">
        <v>685</v>
      </c>
      <c r="B4" s="296" t="s">
        <v>686</v>
      </c>
      <c r="C4" s="296" t="s">
        <v>687</v>
      </c>
      <c r="D4" s="296" t="s">
        <v>688</v>
      </c>
      <c r="E4" s="297" t="s">
        <v>689</v>
      </c>
      <c r="F4" s="298"/>
      <c r="G4" s="1384"/>
      <c r="H4" s="295" t="s">
        <v>685</v>
      </c>
      <c r="I4" s="296" t="s">
        <v>686</v>
      </c>
      <c r="J4" s="296" t="s">
        <v>687</v>
      </c>
      <c r="K4" s="296" t="s">
        <v>688</v>
      </c>
      <c r="L4" s="297" t="s">
        <v>689</v>
      </c>
      <c r="M4" s="298"/>
    </row>
    <row r="5" spans="1:37" ht="18" customHeight="1">
      <c r="A5" s="299">
        <v>1</v>
      </c>
      <c r="B5" s="300" t="s">
        <v>690</v>
      </c>
      <c r="C5" s="1070">
        <f ca="1">C6+C10+C12</f>
        <v>269</v>
      </c>
      <c r="D5" s="1364" t="s">
        <v>691</v>
      </c>
      <c r="E5" s="1071"/>
      <c r="F5" s="1072"/>
      <c r="G5" s="1384"/>
      <c r="H5" s="299">
        <v>1</v>
      </c>
      <c r="I5" s="300" t="s">
        <v>690</v>
      </c>
      <c r="J5" s="1070">
        <f ca="1">J6+J10+J12</f>
        <v>0</v>
      </c>
      <c r="K5" s="1364" t="s">
        <v>691</v>
      </c>
      <c r="L5" s="1071"/>
      <c r="M5" s="1072"/>
    </row>
    <row r="6" spans="1:37" ht="18" customHeight="1">
      <c r="A6" s="1069" t="s">
        <v>398</v>
      </c>
      <c r="B6" s="3874" t="s">
        <v>692</v>
      </c>
      <c r="C6" s="1074">
        <f ca="1">ROUND(F6*F8*F7*(1-F9)/10000,0)</f>
        <v>269</v>
      </c>
      <c r="D6" s="155" t="s">
        <v>2106</v>
      </c>
      <c r="E6" s="302" t="s">
        <v>694</v>
      </c>
      <c r="F6" s="303">
        <f ca="1">INDIRECT("'数据-取费表'!u"&amp;$G$1)</f>
        <v>7</v>
      </c>
      <c r="G6" s="1384"/>
      <c r="H6" s="1069" t="s">
        <v>398</v>
      </c>
      <c r="I6" s="3874" t="s">
        <v>692</v>
      </c>
      <c r="J6" s="301">
        <f ca="1">ROUND(M6*M8*M7*(1-M9)/10000,0)</f>
        <v>0</v>
      </c>
      <c r="K6" s="155" t="s">
        <v>2105</v>
      </c>
      <c r="L6" s="302" t="s">
        <v>694</v>
      </c>
      <c r="M6" s="303">
        <f ca="1">INDIRECT("'数据-取费表'!z"&amp;$G$1)</f>
        <v>0</v>
      </c>
    </row>
    <row r="7" spans="1:37" ht="18" customHeight="1">
      <c r="A7" s="1073"/>
      <c r="B7" s="3875"/>
      <c r="C7" s="1075"/>
      <c r="D7" s="307"/>
      <c r="E7" s="1076" t="s">
        <v>695</v>
      </c>
      <c r="F7" s="303">
        <f ca="1">IF(INDIRECT("'数据-取费表'!ah"&amp;$G$1)="",INDIRECT("'数据-取费表'!k"&amp;$G$1),INDIRECT("'数据-取费表'!ah"&amp;$G$1))</f>
        <v>1168.2</v>
      </c>
      <c r="G7" s="1384"/>
      <c r="H7" s="304"/>
      <c r="I7" s="3875"/>
      <c r="J7" s="306"/>
      <c r="K7" s="307"/>
      <c r="L7" s="302" t="s">
        <v>695</v>
      </c>
      <c r="M7" s="303">
        <f ca="1">F7</f>
        <v>1168.2</v>
      </c>
    </row>
    <row r="8" spans="1:37" ht="18" customHeight="1">
      <c r="A8" s="304"/>
      <c r="B8" s="3875"/>
      <c r="C8" s="306"/>
      <c r="D8" s="307"/>
      <c r="E8" s="302" t="s">
        <v>696</v>
      </c>
      <c r="F8" s="303">
        <f ca="1">INDIRECT("'数据-取费表'!ai"&amp;$G$1)</f>
        <v>365</v>
      </c>
      <c r="G8" s="1384"/>
      <c r="H8" s="304"/>
      <c r="I8" s="3875"/>
      <c r="J8" s="306"/>
      <c r="K8" s="307"/>
      <c r="L8" s="302" t="s">
        <v>696</v>
      </c>
      <c r="M8" s="303">
        <f ca="1">INDIRECT("'数据-取费表'!ai"&amp;$G$1)</f>
        <v>365</v>
      </c>
    </row>
    <row r="9" spans="1:37" ht="18" customHeight="1">
      <c r="A9" s="304"/>
      <c r="B9" s="3876"/>
      <c r="C9" s="306"/>
      <c r="D9" s="307"/>
      <c r="E9" s="302" t="s">
        <v>697</v>
      </c>
      <c r="F9" s="312">
        <f ca="1">INDIRECT("'数据-取费表'!w"&amp;$G$1)</f>
        <v>0.1</v>
      </c>
      <c r="G9" s="1384"/>
      <c r="H9" s="304"/>
      <c r="I9" s="3876"/>
      <c r="J9" s="306"/>
      <c r="K9" s="307"/>
      <c r="L9" s="313" t="s">
        <v>697</v>
      </c>
      <c r="M9" s="314">
        <f ca="1">INDIRECT("'数据-取费表'!ab"&amp;$G$1)</f>
        <v>0</v>
      </c>
    </row>
    <row r="10" spans="1:37" ht="18" customHeight="1">
      <c r="A10" s="1069" t="s">
        <v>402</v>
      </c>
      <c r="B10" s="1365" t="s">
        <v>698</v>
      </c>
      <c r="C10" s="316">
        <f ca="1">ROUND(IF(F10="押一",C6/12*F11,IF(F10="押二",C6/12*2*F11,IF(F10="押三",C6/12*3*F11,C11*F11))),0)</f>
        <v>0</v>
      </c>
      <c r="D10" s="1366" t="s">
        <v>2114</v>
      </c>
      <c r="E10" s="313" t="s">
        <v>699</v>
      </c>
      <c r="F10" s="1116" t="s">
        <v>3544</v>
      </c>
      <c r="G10" s="1384"/>
      <c r="H10" s="1069" t="s">
        <v>402</v>
      </c>
      <c r="I10" s="1365" t="s">
        <v>698</v>
      </c>
      <c r="J10" s="301">
        <f ca="1">ROUND(IF(M10="押一",J6/12*M11,IF(M10="押二",J6/12*2*M11,IF(M10="押三",J6/12*3*M11,J11*M11))),0)</f>
        <v>0</v>
      </c>
      <c r="K10" s="1366" t="s">
        <v>2113</v>
      </c>
      <c r="L10" s="313" t="s">
        <v>699</v>
      </c>
      <c r="M10" s="1116"/>
    </row>
    <row r="11" spans="1:37" ht="18" customHeight="1">
      <c r="A11" s="308"/>
      <c r="B11" s="1367" t="s">
        <v>677</v>
      </c>
      <c r="C11" s="959"/>
      <c r="D11" s="1368"/>
      <c r="E11" s="313" t="s">
        <v>700</v>
      </c>
      <c r="F11" s="314">
        <f ca="1">'数据-取费表'!B39</f>
        <v>1.4999999999999999E-2</v>
      </c>
      <c r="G11" s="1384"/>
      <c r="H11" s="1077"/>
      <c r="I11" s="1367" t="s">
        <v>677</v>
      </c>
      <c r="J11" s="959"/>
      <c r="K11" s="684"/>
      <c r="L11" s="313" t="s">
        <v>700</v>
      </c>
      <c r="M11" s="862">
        <f ca="1">'数据-取费表'!B39</f>
        <v>1.4999999999999999E-2</v>
      </c>
    </row>
    <row r="12" spans="1:37" ht="18" customHeight="1" thickBot="1">
      <c r="A12" s="1083" t="s">
        <v>437</v>
      </c>
      <c r="B12" s="1369" t="s">
        <v>701</v>
      </c>
      <c r="C12" s="1084"/>
      <c r="D12" s="1085"/>
      <c r="E12" s="1090"/>
      <c r="F12" s="1086"/>
      <c r="G12" s="1384"/>
      <c r="H12" s="1083" t="s">
        <v>437</v>
      </c>
      <c r="I12" s="1369" t="s">
        <v>701</v>
      </c>
      <c r="J12" s="1084"/>
      <c r="K12" s="1098"/>
      <c r="L12" s="1090"/>
      <c r="M12" s="1099"/>
    </row>
    <row r="13" spans="1:37" ht="18" customHeight="1" thickTop="1">
      <c r="A13" s="1079">
        <v>2</v>
      </c>
      <c r="B13" s="1080" t="s">
        <v>702</v>
      </c>
      <c r="C13" s="310">
        <f ca="1">ROUND(C29*F13,0)</f>
        <v>551</v>
      </c>
      <c r="D13" s="1081" t="s">
        <v>703</v>
      </c>
      <c r="E13" s="1081" t="s">
        <v>704</v>
      </c>
      <c r="F13" s="1082">
        <f ca="1">INDIRECT("'数据-取费表'!y"&amp;$G$1)</f>
        <v>0.65</v>
      </c>
      <c r="G13" s="1384"/>
      <c r="H13" s="1079">
        <v>2</v>
      </c>
      <c r="I13" s="1080" t="s">
        <v>702</v>
      </c>
      <c r="J13" s="1068">
        <f ca="1">ROUND(J14*J15,0)</f>
        <v>0</v>
      </c>
      <c r="K13" s="1087" t="s">
        <v>703</v>
      </c>
      <c r="L13" s="1392"/>
      <c r="M13" s="1393"/>
    </row>
    <row r="14" spans="1:37" ht="18" customHeight="1">
      <c r="A14" s="982" t="s">
        <v>397</v>
      </c>
      <c r="B14" s="302" t="s">
        <v>705</v>
      </c>
      <c r="C14" s="318">
        <f ca="1">INDIRECT("'数据-取费表'!m"&amp;$G$1)+INDIRECT("'数据-取费表'!t"&amp;$G$1)</f>
        <v>584</v>
      </c>
      <c r="D14" s="1345" t="s">
        <v>706</v>
      </c>
      <c r="E14" s="1342"/>
      <c r="F14" s="319"/>
      <c r="G14" s="1384"/>
      <c r="H14" s="982" t="s">
        <v>398</v>
      </c>
      <c r="I14" s="302" t="s">
        <v>707</v>
      </c>
      <c r="J14" s="21">
        <f ca="1">C29</f>
        <v>847</v>
      </c>
      <c r="K14" s="12"/>
      <c r="L14" s="807"/>
      <c r="M14" s="808"/>
    </row>
    <row r="15" spans="1:37" s="1397" customFormat="1" ht="18" customHeight="1" thickBot="1">
      <c r="A15" s="982" t="s">
        <v>399</v>
      </c>
      <c r="B15" s="302" t="s">
        <v>708</v>
      </c>
      <c r="C15" s="21">
        <f ca="1">ROUND(C14*F15,0)</f>
        <v>29</v>
      </c>
      <c r="D15" s="320" t="s">
        <v>709</v>
      </c>
      <c r="E15" s="320" t="s">
        <v>710</v>
      </c>
      <c r="F15" s="321">
        <f>'数据-取费表'!B33</f>
        <v>0.05</v>
      </c>
      <c r="G15" s="1396"/>
      <c r="H15" s="1089" t="s">
        <v>402</v>
      </c>
      <c r="I15" s="1090" t="s">
        <v>704</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678</v>
      </c>
      <c r="B16" s="302" t="s">
        <v>711</v>
      </c>
      <c r="C16" s="21">
        <f ca="1">ROUND(INDIRECT("'数据-取费表'!m"&amp;$G$1)*F16,0)</f>
        <v>0</v>
      </c>
      <c r="D16" s="302" t="s">
        <v>709</v>
      </c>
      <c r="E16" s="302" t="s">
        <v>710</v>
      </c>
      <c r="F16" s="322">
        <f ca="1">IF(INDIRECT("'数据-取费表'!c"&amp;$G$1)="住宅",'数据-取费表'!B34,0)</f>
        <v>0</v>
      </c>
      <c r="G16" s="1384"/>
      <c r="H16" s="1079" t="s">
        <v>393</v>
      </c>
      <c r="I16" s="1080" t="s">
        <v>712</v>
      </c>
      <c r="J16" s="310">
        <f ca="1">ROUND(J17+J22+J23+J24,0)</f>
        <v>4</v>
      </c>
      <c r="K16" s="1087" t="s">
        <v>713</v>
      </c>
      <c r="L16" s="1088"/>
      <c r="M16" s="1072"/>
    </row>
    <row r="17" spans="1:37" s="1397" customFormat="1" ht="18" customHeight="1">
      <c r="A17" s="982" t="s">
        <v>679</v>
      </c>
      <c r="B17" s="302" t="s">
        <v>714</v>
      </c>
      <c r="C17" s="21">
        <f ca="1">ROUND(F17*(F43+INDIRECT("'数据-取费表'!S"&amp;$G$1))/10000,0)</f>
        <v>23</v>
      </c>
      <c r="D17" s="302" t="s">
        <v>715</v>
      </c>
      <c r="E17" s="302" t="s">
        <v>716</v>
      </c>
      <c r="F17" s="23">
        <f>'数据-取费表'!B35</f>
        <v>200</v>
      </c>
      <c r="G17" s="1396"/>
      <c r="H17" s="982" t="s">
        <v>398</v>
      </c>
      <c r="I17" s="302" t="s">
        <v>717</v>
      </c>
      <c r="J17" s="2316">
        <f ca="1">ROUND(IF(AND(项目基本情况!B11="自然人",项目基本情况!B10="北京市"),J6*M17/(1+'数据-取费表'!C42),J18+J19+J20),2)</f>
        <v>0</v>
      </c>
      <c r="K17" s="1345" t="s">
        <v>718</v>
      </c>
      <c r="L17" s="1344" t="s">
        <v>719</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680</v>
      </c>
      <c r="B18" s="302" t="s">
        <v>720</v>
      </c>
      <c r="C18" s="21">
        <f ca="1">ROUND(C14*F18,0)</f>
        <v>12</v>
      </c>
      <c r="D18" s="302" t="s">
        <v>709</v>
      </c>
      <c r="E18" s="302" t="s">
        <v>710</v>
      </c>
      <c r="F18" s="322">
        <f>'数据-取费表'!B36</f>
        <v>0.02</v>
      </c>
      <c r="G18" s="1396"/>
      <c r="H18" s="982" t="s">
        <v>397</v>
      </c>
      <c r="I18" s="302" t="s">
        <v>721</v>
      </c>
      <c r="J18" s="21">
        <f ca="1">ROUND(J6*M18/(1+'数据-取费表'!C42),2)</f>
        <v>0</v>
      </c>
      <c r="K18" s="1344" t="s">
        <v>722</v>
      </c>
      <c r="L18" s="302" t="s">
        <v>710</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723</v>
      </c>
      <c r="C19" s="21">
        <f ca="1">SUM(C14:C18)</f>
        <v>648</v>
      </c>
      <c r="D19" s="131" t="s">
        <v>724</v>
      </c>
      <c r="E19" s="1360"/>
      <c r="F19" s="23"/>
      <c r="G19" s="1384"/>
      <c r="H19" s="982" t="s">
        <v>399</v>
      </c>
      <c r="I19" s="302" t="s">
        <v>725</v>
      </c>
      <c r="J19" s="21">
        <f ca="1">IF(K19="按租金收入计税",ROUND(J6*M19/(1+'数据-取费表'!C42),2),ROUND(C29*M19*0.7,2))</f>
        <v>0</v>
      </c>
      <c r="K19" s="1370" t="s">
        <v>3337</v>
      </c>
      <c r="L19" s="302" t="s">
        <v>710</v>
      </c>
      <c r="M19" s="322">
        <f>IF(K19="按租金收入计税",'数据-取费表'!B51,'数据-取费表'!B50)</f>
        <v>0.12</v>
      </c>
    </row>
    <row r="20" spans="1:37" s="1397" customFormat="1" ht="18" customHeight="1">
      <c r="A20" s="982" t="s">
        <v>402</v>
      </c>
      <c r="B20" s="302" t="s">
        <v>726</v>
      </c>
      <c r="C20" s="21">
        <f ca="1">ROUND(C19*F20,0)</f>
        <v>13</v>
      </c>
      <c r="D20" s="323" t="s">
        <v>727</v>
      </c>
      <c r="E20" s="302" t="s">
        <v>710</v>
      </c>
      <c r="F20" s="322">
        <f>'数据-取费表'!B37</f>
        <v>0.02</v>
      </c>
      <c r="G20" s="1396"/>
      <c r="H20" s="982" t="s">
        <v>678</v>
      </c>
      <c r="I20" s="155" t="s">
        <v>728</v>
      </c>
      <c r="J20" s="22">
        <f ca="1">ROUND(M20*M21/10000,2)</f>
        <v>0</v>
      </c>
      <c r="K20" s="324" t="s">
        <v>729</v>
      </c>
      <c r="L20" s="302" t="s">
        <v>730</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731</v>
      </c>
      <c r="C21" s="21" t="s">
        <v>15</v>
      </c>
      <c r="D21" s="323" t="s">
        <v>732</v>
      </c>
      <c r="E21" s="302" t="s">
        <v>733</v>
      </c>
      <c r="F21" s="322">
        <f>'数据-取费表'!B38</f>
        <v>0.02</v>
      </c>
      <c r="G21" s="1396"/>
      <c r="H21" s="326"/>
      <c r="I21" s="311"/>
      <c r="J21" s="26"/>
      <c r="K21" s="327"/>
      <c r="L21" s="302" t="s">
        <v>734</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681</v>
      </c>
      <c r="B22" s="302" t="s">
        <v>735</v>
      </c>
      <c r="C22" s="21"/>
      <c r="D22" s="131" t="str">
        <f>IF(F23&lt;=1,"单利计息。","复利计息。")&amp;"建造成本、管理费用、销售费用产生的利息。"</f>
        <v>复利计息。建造成本、管理费用、销售费用产生的利息。</v>
      </c>
      <c r="E22" s="1360"/>
      <c r="F22" s="23"/>
      <c r="G22" s="1384"/>
      <c r="H22" s="982" t="s">
        <v>402</v>
      </c>
      <c r="I22" s="302" t="s">
        <v>736</v>
      </c>
      <c r="J22" s="21">
        <f ca="1">ROUND(J14*M22,2)</f>
        <v>4.24</v>
      </c>
      <c r="K22" s="1344" t="s">
        <v>737</v>
      </c>
      <c r="L22" s="302" t="s">
        <v>710</v>
      </c>
      <c r="M22" s="328">
        <f ca="1">INDIRECT("'数据-取费表'!Ak"&amp;$G$1)</f>
        <v>5.0000000000000001E-3</v>
      </c>
    </row>
    <row r="23" spans="1:37" s="1397" customFormat="1" ht="18" customHeight="1">
      <c r="A23" s="982" t="s">
        <v>397</v>
      </c>
      <c r="B23" s="302" t="s">
        <v>738</v>
      </c>
      <c r="C23" s="21">
        <f ca="1">IF('数据-取费表'!B22&lt;=1,ROUND(C19*F24*F23/2,0)+ROUND(C20*F24*F23/2,0),ROUND(C19*(POWER((1+F24),F23/2)-1),0)+ROUND(C20*(POWER((1+F24),F23/2)-1),0))</f>
        <v>22</v>
      </c>
      <c r="D23" s="329" t="str">
        <f>IF(F23&lt;=1,"(建造成本+管理费用)×利率×(建设周期÷2)","(建造成本+管理费用)×((1+利率)^(建设周期÷2)-1)")</f>
        <v>(建造成本+管理费用)×((1+利率)^(建设周期÷2)-1)</v>
      </c>
      <c r="E23" s="302" t="s">
        <v>739</v>
      </c>
      <c r="F23" s="325">
        <f>'数据-取费表'!B20</f>
        <v>2</v>
      </c>
      <c r="G23" s="1396"/>
      <c r="H23" s="982" t="s">
        <v>437</v>
      </c>
      <c r="I23" s="302" t="s">
        <v>740</v>
      </c>
      <c r="J23" s="21">
        <f ca="1">ROUND(J13*M23,2)</f>
        <v>0</v>
      </c>
      <c r="K23" s="1344" t="s">
        <v>741</v>
      </c>
      <c r="L23" s="302" t="s">
        <v>742</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743</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3.4500000000000003E-2</v>
      </c>
      <c r="G24" s="1396"/>
      <c r="H24" s="1089" t="s">
        <v>682</v>
      </c>
      <c r="I24" s="1090" t="s">
        <v>726</v>
      </c>
      <c r="J24" s="1091">
        <f ca="1">ROUND(J5*M24,2)</f>
        <v>0</v>
      </c>
      <c r="K24" s="1092" t="s">
        <v>746</v>
      </c>
      <c r="L24" s="1090" t="s">
        <v>742</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747</v>
      </c>
      <c r="B25" s="302" t="s">
        <v>748</v>
      </c>
      <c r="C25" s="21"/>
      <c r="D25" s="131" t="s">
        <v>749</v>
      </c>
      <c r="E25" s="1360"/>
      <c r="F25" s="23"/>
      <c r="G25" s="1384"/>
      <c r="H25" s="1079" t="s">
        <v>394</v>
      </c>
      <c r="I25" s="1094" t="s">
        <v>750</v>
      </c>
      <c r="J25" s="310">
        <f ca="1">J5-J16</f>
        <v>-4</v>
      </c>
      <c r="K25" s="1095" t="s">
        <v>751</v>
      </c>
      <c r="L25" s="1096"/>
      <c r="M25" s="1097"/>
    </row>
    <row r="26" spans="1:37">
      <c r="A26" s="982" t="s">
        <v>397</v>
      </c>
      <c r="B26" s="302" t="s">
        <v>752</v>
      </c>
      <c r="C26" s="21">
        <f ca="1">ROUND((C19+C20)*F26,0)</f>
        <v>99</v>
      </c>
      <c r="D26" s="323" t="s">
        <v>753</v>
      </c>
      <c r="E26" s="313" t="s">
        <v>754</v>
      </c>
      <c r="F26" s="312">
        <f ca="1">INDIRECT("'数据-取费表'!q"&amp;$G$1)</f>
        <v>0.15</v>
      </c>
      <c r="G26" s="1384"/>
      <c r="H26" s="299" t="s">
        <v>395</v>
      </c>
      <c r="I26" s="300" t="s">
        <v>755</v>
      </c>
      <c r="J26" s="301">
        <f ca="1">IF(J5&lt;&gt;0,ROUND(J25*(1-((1+M28)/(1+M26))^M27)/(M26-M28),0),0)</f>
        <v>0</v>
      </c>
      <c r="K26" s="324" t="s">
        <v>756</v>
      </c>
      <c r="L26" s="302" t="s">
        <v>757</v>
      </c>
      <c r="M26" s="312">
        <f ca="1">INDIRECT("'数据-取费表'!I"&amp;$G$1)</f>
        <v>5.5E-2</v>
      </c>
    </row>
    <row r="27" spans="1:37" ht="18" customHeight="1">
      <c r="A27" s="982" t="s">
        <v>399</v>
      </c>
      <c r="B27" s="302" t="s">
        <v>758</v>
      </c>
      <c r="C27" s="21">
        <f ca="1">ROUND(F21*F26,4)</f>
        <v>3.0000000000000001E-3</v>
      </c>
      <c r="D27" s="323" t="s">
        <v>759</v>
      </c>
      <c r="E27" s="320"/>
      <c r="F27" s="321"/>
      <c r="G27" s="1384"/>
      <c r="H27" s="304"/>
      <c r="I27" s="305"/>
      <c r="J27" s="306"/>
      <c r="K27" s="332" t="s">
        <v>760</v>
      </c>
      <c r="L27" s="302" t="s">
        <v>761</v>
      </c>
      <c r="M27" s="333">
        <f ca="1">INDIRECT("'数据-取费表'!ag"&amp;$G$1)</f>
        <v>0</v>
      </c>
    </row>
    <row r="28" spans="1:37" s="1397" customFormat="1" ht="18" customHeight="1">
      <c r="A28" s="982" t="s">
        <v>400</v>
      </c>
      <c r="B28" s="302" t="s">
        <v>762</v>
      </c>
      <c r="C28" s="21">
        <f>ROUND(F28/(1+'数据-取费表'!C42),4)</f>
        <v>5.33E-2</v>
      </c>
      <c r="D28" s="323" t="s">
        <v>763</v>
      </c>
      <c r="E28" s="302" t="s">
        <v>710</v>
      </c>
      <c r="F28" s="322">
        <f>'数据-取费表'!B41</f>
        <v>5.6000000000000001E-2</v>
      </c>
      <c r="G28" s="1396"/>
      <c r="H28" s="308"/>
      <c r="I28" s="309"/>
      <c r="J28" s="310"/>
      <c r="K28" s="327"/>
      <c r="L28" s="302" t="s">
        <v>764</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765</v>
      </c>
      <c r="C29" s="1091">
        <f ca="1">ROUND((C19+C20+C23+C26)/(1-F21-C24-C27-C28),0)</f>
        <v>847</v>
      </c>
      <c r="D29" s="1092"/>
      <c r="E29" s="1090"/>
      <c r="F29" s="1093"/>
      <c r="G29" s="1396"/>
      <c r="H29" s="334" t="s">
        <v>396</v>
      </c>
      <c r="I29" s="335" t="s">
        <v>766</v>
      </c>
      <c r="J29" s="336">
        <f ca="1">ROUND(J26/(1+F40)^F41,0)</f>
        <v>0</v>
      </c>
      <c r="K29" s="337" t="s">
        <v>767</v>
      </c>
      <c r="L29" s="338"/>
      <c r="M29" s="339">
        <f ca="1">INDIRECT("'数据-取费表'!k"&amp;$G$1)</f>
        <v>1168.2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712</v>
      </c>
      <c r="C30" s="310">
        <f ca="1">ROUND(C31+C36+C37+C38,0)</f>
        <v>53</v>
      </c>
      <c r="D30" s="1087" t="s">
        <v>713</v>
      </c>
      <c r="E30" s="1088"/>
      <c r="F30" s="1072"/>
      <c r="G30" s="1384"/>
      <c r="H30" s="2697"/>
      <c r="I30" s="1398"/>
      <c r="J30" s="1399"/>
      <c r="K30" s="2475"/>
      <c r="L30" s="2698"/>
      <c r="M30" s="2699"/>
    </row>
    <row r="31" spans="1:37" ht="18" customHeight="1">
      <c r="A31" s="982" t="s">
        <v>398</v>
      </c>
      <c r="B31" s="302" t="s">
        <v>717</v>
      </c>
      <c r="C31" s="2316">
        <f ca="1">ROUND(IF(AND(项目基本情况!B11="自然人",项目基本情况!B10="北京市"),C6*F31/(1+'数据-取费表'!C42),C32+C33+C34),2)</f>
        <v>45.09</v>
      </c>
      <c r="D31" s="1345" t="s">
        <v>718</v>
      </c>
      <c r="E31" s="1344" t="s">
        <v>768</v>
      </c>
      <c r="F31" s="2315" t="str">
        <f>IF(项目基本情况!B11="企业","——",IF(M47="住宅",IF(F6*F7*F8/12/(1+'数据-取费表'!F30)&gt;100000,4%,2.5%),IF(F6*F7*F8/12/(1+'数据-取费表'!F30)&gt;100000,12%,7%)))</f>
        <v>——</v>
      </c>
      <c r="G31" s="1384"/>
      <c r="H31" s="2808" t="s">
        <v>2307</v>
      </c>
      <c r="I31" s="1398"/>
      <c r="J31" s="1399"/>
      <c r="K31" s="2475"/>
      <c r="L31" s="2698"/>
      <c r="M31" s="2699"/>
    </row>
    <row r="32" spans="1:37" ht="18" customHeight="1">
      <c r="A32" s="982" t="s">
        <v>397</v>
      </c>
      <c r="B32" s="302" t="s">
        <v>721</v>
      </c>
      <c r="C32" s="21">
        <f ca="1">IF(项目基本情况!B11="自然人","——",ROUND(C6*F32/(1+'数据-取费表'!C42),2))</f>
        <v>14.35</v>
      </c>
      <c r="D32" s="1344" t="s">
        <v>722</v>
      </c>
      <c r="E32" s="302" t="s">
        <v>710</v>
      </c>
      <c r="F32" s="331">
        <f>'数据-取费表'!B41</f>
        <v>5.6000000000000001E-2</v>
      </c>
      <c r="G32" s="1384"/>
      <c r="H32" s="2697"/>
      <c r="I32" s="1398"/>
      <c r="J32" s="1399"/>
      <c r="K32" s="2475"/>
      <c r="L32" s="2698"/>
      <c r="M32" s="2699"/>
    </row>
    <row r="33" spans="1:18" ht="18" customHeight="1">
      <c r="A33" s="982" t="s">
        <v>399</v>
      </c>
      <c r="B33" s="302" t="s">
        <v>725</v>
      </c>
      <c r="C33" s="21">
        <f ca="1">IF(项目基本情况!B11="自然人","——",IF(D33="按租金收入计税",ROUND(C6*F33/(1+'数据-取费表'!C42),2),IF(D33="按房产原值计税",ROUND(C29*F33*0.7,2),INDIRECT("'数据-取费表'!Aj"&amp;$G$1))))</f>
        <v>30.74</v>
      </c>
      <c r="D33" s="1370" t="s">
        <v>3337</v>
      </c>
      <c r="E33" s="302" t="s">
        <v>710</v>
      </c>
      <c r="F33" s="322">
        <f>IF(D33="按票据","——",IF(D33="按租金收入计税",'数据-取费表'!B51,'数据-取费表'!B50))</f>
        <v>0.12</v>
      </c>
      <c r="G33" s="1384"/>
      <c r="H33" s="2700"/>
      <c r="I33" s="1398"/>
      <c r="J33" s="1399"/>
      <c r="K33" s="2701"/>
      <c r="L33" s="2700"/>
      <c r="M33" s="2700"/>
    </row>
    <row r="34" spans="1:18" ht="18" customHeight="1">
      <c r="A34" s="1069" t="s">
        <v>678</v>
      </c>
      <c r="B34" s="155" t="s">
        <v>728</v>
      </c>
      <c r="C34" s="22">
        <f ca="1">IF(项目基本情况!B11="自然人","——",ROUND(F34*F35/10000,2))</f>
        <v>0</v>
      </c>
      <c r="D34" s="324" t="s">
        <v>729</v>
      </c>
      <c r="E34" s="302" t="s">
        <v>730</v>
      </c>
      <c r="F34" s="325">
        <f>'数据-取费表'!B52</f>
        <v>0</v>
      </c>
      <c r="G34" s="1384"/>
      <c r="H34" s="2697"/>
      <c r="I34" s="1398"/>
      <c r="J34" s="1399"/>
      <c r="K34" s="2702"/>
      <c r="L34" s="2703"/>
      <c r="M34" s="2703"/>
    </row>
    <row r="35" spans="1:18" ht="18" customHeight="1">
      <c r="A35" s="1103"/>
      <c r="B35" s="1101"/>
      <c r="C35" s="26"/>
      <c r="D35" s="327"/>
      <c r="E35" s="302" t="s">
        <v>734</v>
      </c>
      <c r="F35" s="303">
        <f ca="1">INDIRECT("'数据-取费表'!r"&amp;$G$1)</f>
        <v>0</v>
      </c>
      <c r="G35" s="1384"/>
      <c r="H35" s="2697"/>
      <c r="I35" s="1398"/>
      <c r="J35" s="1399"/>
      <c r="K35" s="2701"/>
      <c r="L35" s="2700"/>
      <c r="M35" s="2700"/>
    </row>
    <row r="36" spans="1:18" ht="18" customHeight="1">
      <c r="A36" s="1102" t="s">
        <v>402</v>
      </c>
      <c r="B36" s="302" t="s">
        <v>736</v>
      </c>
      <c r="C36" s="21">
        <f ca="1">ROUND(C29*F36,2)</f>
        <v>4.24</v>
      </c>
      <c r="D36" s="1344" t="s">
        <v>769</v>
      </c>
      <c r="E36" s="302" t="s">
        <v>710</v>
      </c>
      <c r="F36" s="328">
        <f ca="1">INDIRECT("'数据-取费表'!Ak"&amp;$G$1)</f>
        <v>5.0000000000000001E-3</v>
      </c>
      <c r="G36" s="1384"/>
      <c r="H36" s="2700"/>
      <c r="I36" s="1398"/>
      <c r="J36" s="1399"/>
      <c r="K36" s="2544"/>
      <c r="L36" s="2700"/>
      <c r="M36" s="2700"/>
    </row>
    <row r="37" spans="1:18" ht="18" customHeight="1">
      <c r="A37" s="982" t="s">
        <v>437</v>
      </c>
      <c r="B37" s="302" t="s">
        <v>740</v>
      </c>
      <c r="C37" s="21">
        <f ca="1">ROUND(C13*F37,2)</f>
        <v>0.55000000000000004</v>
      </c>
      <c r="D37" s="1344" t="s">
        <v>741</v>
      </c>
      <c r="E37" s="302" t="s">
        <v>742</v>
      </c>
      <c r="F37" s="330">
        <f ca="1">INDIRECT("'数据-取费表'!Al"&amp;$G$1)</f>
        <v>1E-3</v>
      </c>
      <c r="G37" s="1384"/>
      <c r="H37" s="2700">
        <f ca="1">C39/C5</f>
        <v>0.80297397769516732</v>
      </c>
      <c r="I37" s="1398"/>
      <c r="J37" s="1399"/>
      <c r="K37" s="2544"/>
      <c r="L37" s="2700"/>
      <c r="M37" s="2700"/>
    </row>
    <row r="38" spans="1:18" ht="18" customHeight="1" thickBot="1">
      <c r="A38" s="1089" t="s">
        <v>682</v>
      </c>
      <c r="B38" s="1090" t="s">
        <v>726</v>
      </c>
      <c r="C38" s="1091">
        <f ca="1">ROUND(C5*F38,2)</f>
        <v>2.69</v>
      </c>
      <c r="D38" s="1092" t="s">
        <v>746</v>
      </c>
      <c r="E38" s="1090" t="s">
        <v>742</v>
      </c>
      <c r="F38" s="1086">
        <f ca="1">INDIRECT("'数据-取费表'!Am"&amp;$G$1)</f>
        <v>0.01</v>
      </c>
      <c r="G38" s="1384"/>
      <c r="H38" s="2700"/>
      <c r="I38" s="1398"/>
      <c r="J38" s="1399"/>
      <c r="K38" s="2704"/>
      <c r="L38" s="2700"/>
      <c r="M38" s="2700"/>
    </row>
    <row r="39" spans="1:18" ht="24.6" customHeight="1" thickTop="1">
      <c r="A39" s="1079" t="s">
        <v>394</v>
      </c>
      <c r="B39" s="1094" t="s">
        <v>770</v>
      </c>
      <c r="C39" s="310">
        <f ca="1">C5-C30</f>
        <v>216</v>
      </c>
      <c r="D39" s="1095" t="s">
        <v>771</v>
      </c>
      <c r="E39" s="1096"/>
      <c r="F39" s="1097"/>
      <c r="G39" s="1384"/>
      <c r="H39" s="2700"/>
      <c r="I39" s="1398"/>
      <c r="J39" s="1399"/>
      <c r="K39" s="2704"/>
      <c r="L39" s="2700"/>
      <c r="M39" s="2700"/>
    </row>
    <row r="40" spans="1:18" ht="18" customHeight="1">
      <c r="A40" s="299" t="s">
        <v>395</v>
      </c>
      <c r="B40" s="300" t="s">
        <v>772</v>
      </c>
      <c r="C40" s="301">
        <f ca="1">ROUND(C39*(1-((1+F42)/(1+F40))^F41)/(F40-F42),0)</f>
        <v>3175</v>
      </c>
      <c r="D40" s="324" t="s">
        <v>756</v>
      </c>
      <c r="E40" s="302" t="s">
        <v>757</v>
      </c>
      <c r="F40" s="312">
        <f ca="1">INDIRECT("'数据-取费表'!I"&amp;$G$1)</f>
        <v>5.5E-2</v>
      </c>
      <c r="G40" s="1384"/>
      <c r="H40" s="1461"/>
      <c r="I40" s="1398"/>
      <c r="J40" s="1399"/>
      <c r="K40" s="2704"/>
      <c r="L40" s="1461"/>
      <c r="M40" s="1461"/>
    </row>
    <row r="41" spans="1:18" ht="18" customHeight="1">
      <c r="A41" s="304"/>
      <c r="B41" s="305"/>
      <c r="C41" s="306"/>
      <c r="D41" s="332" t="s">
        <v>773</v>
      </c>
      <c r="E41" s="302" t="s">
        <v>761</v>
      </c>
      <c r="F41" s="333">
        <f ca="1">IF(INDIRECT("'数据-取费表'!af"&amp;$G$1)=0,INDIRECT("'数据-取费表'!ae"&amp;$G$1),INDIRECT("'数据-取费表'!af"&amp;$G$1))</f>
        <v>30.86</v>
      </c>
      <c r="G41" s="1384"/>
      <c r="H41" s="1191"/>
      <c r="I41" s="1398"/>
      <c r="J41" s="1399"/>
      <c r="K41" s="2544"/>
      <c r="L41" s="1191"/>
      <c r="M41" s="1191"/>
    </row>
    <row r="42" spans="1:18" ht="18" customHeight="1">
      <c r="A42" s="308"/>
      <c r="B42" s="309"/>
      <c r="C42" s="310"/>
      <c r="D42" s="327"/>
      <c r="E42" s="302" t="s">
        <v>764</v>
      </c>
      <c r="F42" s="312">
        <f ca="1">INDIRECT("'数据-取费表'!v"&amp;$G$1)</f>
        <v>0</v>
      </c>
      <c r="G42" s="1384"/>
      <c r="H42" s="1191"/>
      <c r="I42" s="1398"/>
      <c r="J42" s="1399"/>
      <c r="K42" s="2544"/>
      <c r="L42" s="1191"/>
      <c r="M42" s="1191"/>
    </row>
    <row r="43" spans="1:18" ht="18" customHeight="1" thickBot="1">
      <c r="A43" s="334" t="s">
        <v>396</v>
      </c>
      <c r="B43" s="335" t="s">
        <v>774</v>
      </c>
      <c r="C43" s="336">
        <f ca="1">ROUND(C40*10000/F43,0)</f>
        <v>27179</v>
      </c>
      <c r="D43" s="337" t="s">
        <v>775</v>
      </c>
      <c r="E43" s="338" t="s">
        <v>776</v>
      </c>
      <c r="F43" s="339">
        <f ca="1">INDIRECT("'数据-取费表'!k"&amp;$G$1)</f>
        <v>1168.2</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806</v>
      </c>
      <c r="P45" s="1461"/>
      <c r="Q45" s="1461"/>
      <c r="R45" s="1461"/>
    </row>
    <row r="46" spans="1:18" s="1384" customFormat="1" ht="13.5" thickBot="1">
      <c r="A46" s="1404" t="s">
        <v>807</v>
      </c>
      <c r="C46" s="1405">
        <f ca="1">C68-C40</f>
        <v>-3248</v>
      </c>
      <c r="D46" s="1406" t="str">
        <f>C2</f>
        <v>万元</v>
      </c>
      <c r="E46" s="1400"/>
      <c r="F46" s="1400"/>
      <c r="I46" s="1407" t="s">
        <v>808</v>
      </c>
      <c r="J46" s="1408"/>
      <c r="K46" s="1409"/>
      <c r="L46" s="1410">
        <f ca="1">IF(M47="住宅",0,IF(L48&gt;J51,L60,J60))</f>
        <v>36</v>
      </c>
      <c r="O46" s="1411" t="s">
        <v>809</v>
      </c>
      <c r="P46" s="1412" t="s">
        <v>810</v>
      </c>
      <c r="Q46" s="1413" t="s">
        <v>811</v>
      </c>
      <c r="R46" s="1413" t="s">
        <v>812</v>
      </c>
    </row>
    <row r="47" spans="1:18" s="1384" customFormat="1" ht="13.5" thickBot="1">
      <c r="A47" s="946" t="s">
        <v>685</v>
      </c>
      <c r="B47" s="978" t="s">
        <v>686</v>
      </c>
      <c r="C47" s="1117" t="s">
        <v>687</v>
      </c>
      <c r="D47" s="978" t="s">
        <v>688</v>
      </c>
      <c r="E47" s="1058" t="s">
        <v>689</v>
      </c>
      <c r="F47" s="1059"/>
      <c r="G47" s="722"/>
      <c r="I47" s="1414" t="s">
        <v>813</v>
      </c>
      <c r="J47" s="1415" t="s">
        <v>3426</v>
      </c>
      <c r="K47" s="1416" t="s">
        <v>814</v>
      </c>
      <c r="L47" s="1417">
        <f ca="1">INDIRECT("'数据-取费表'!d"&amp;$G$1)</f>
        <v>50</v>
      </c>
      <c r="M47" s="1380" t="str">
        <f>IF(ISNUMBER(FIND("住宅",C1)),"住宅","非住宅")</f>
        <v>非住宅</v>
      </c>
      <c r="O47" s="1418" t="s">
        <v>403</v>
      </c>
      <c r="P47" s="1419" t="s">
        <v>815</v>
      </c>
      <c r="Q47" s="1420">
        <f ca="1">C40+J29</f>
        <v>3175</v>
      </c>
      <c r="R47" s="1420" t="s">
        <v>816</v>
      </c>
    </row>
    <row r="48" spans="1:18" s="1384" customFormat="1" ht="28.5" thickBot="1">
      <c r="A48" s="1110" t="s">
        <v>438</v>
      </c>
      <c r="B48" s="300" t="s">
        <v>690</v>
      </c>
      <c r="C48" s="1359">
        <f ca="1">C49+C53+C55</f>
        <v>0</v>
      </c>
      <c r="D48" s="1112"/>
      <c r="E48" s="1113"/>
      <c r="F48" s="962"/>
      <c r="G48" s="722"/>
      <c r="H48" s="723"/>
      <c r="I48" s="1421" t="s">
        <v>817</v>
      </c>
      <c r="J48" s="1422" t="s">
        <v>3545</v>
      </c>
      <c r="K48" s="1423" t="s">
        <v>818</v>
      </c>
      <c r="L48" s="1424">
        <f ca="1">INDIRECT("'数据-取费表'!f"&amp;$G$1)</f>
        <v>30.86</v>
      </c>
      <c r="O48" s="1418" t="s">
        <v>404</v>
      </c>
      <c r="P48" s="1419" t="s">
        <v>819</v>
      </c>
      <c r="Q48" s="1420">
        <f ca="1">J60</f>
        <v>36</v>
      </c>
      <c r="R48" s="1420" t="s">
        <v>820</v>
      </c>
    </row>
    <row r="49" spans="1:18" s="1384" customFormat="1" ht="13.5" thickBot="1">
      <c r="A49" s="975" t="s">
        <v>439</v>
      </c>
      <c r="B49" s="1371" t="s">
        <v>777</v>
      </c>
      <c r="C49" s="1114">
        <f ca="1">ROUND(F49*F51*F50*(1-F52)/10000,0)</f>
        <v>0</v>
      </c>
      <c r="D49" s="1055" t="s">
        <v>2107</v>
      </c>
      <c r="E49" s="1372" t="s">
        <v>778</v>
      </c>
      <c r="F49" s="1060"/>
      <c r="G49" s="1425"/>
      <c r="H49" s="723"/>
      <c r="I49" s="1421" t="s">
        <v>821</v>
      </c>
      <c r="J49" s="1426">
        <v>1995</v>
      </c>
      <c r="K49" s="1423" t="s">
        <v>822</v>
      </c>
      <c r="L49" s="1427"/>
      <c r="O49" s="1428" t="s">
        <v>405</v>
      </c>
      <c r="P49" s="1419" t="s">
        <v>823</v>
      </c>
      <c r="Q49" s="1420">
        <f ca="1">C29</f>
        <v>847</v>
      </c>
      <c r="R49" s="1420" t="s">
        <v>816</v>
      </c>
    </row>
    <row r="50" spans="1:18" s="1384" customFormat="1" ht="13.5" thickBot="1">
      <c r="A50" s="976"/>
      <c r="B50" s="979"/>
      <c r="C50" s="1118"/>
      <c r="D50" s="953"/>
      <c r="E50" s="1056" t="s">
        <v>695</v>
      </c>
      <c r="F50" s="1057">
        <f ca="1">F7</f>
        <v>1168.2</v>
      </c>
      <c r="H50" s="723"/>
      <c r="I50" s="1421" t="s">
        <v>824</v>
      </c>
      <c r="J50" s="1429">
        <f>SUMPRODUCT((I63:I65=J47)*(J62:L62=J48)*(J63:L65))</f>
        <v>60</v>
      </c>
      <c r="K50" s="1423" t="s">
        <v>825</v>
      </c>
      <c r="L50" s="1427"/>
      <c r="M50" s="1430"/>
      <c r="O50" s="1428" t="s">
        <v>406</v>
      </c>
      <c r="P50" s="1419" t="s">
        <v>826</v>
      </c>
      <c r="Q50" s="1431">
        <f ca="1">J58</f>
        <v>0.4</v>
      </c>
      <c r="R50" s="1420"/>
    </row>
    <row r="51" spans="1:18" s="1384" customFormat="1" ht="13.5" thickBot="1">
      <c r="A51" s="977"/>
      <c r="B51" s="979"/>
      <c r="C51" s="980"/>
      <c r="D51" s="953"/>
      <c r="E51" s="981" t="s">
        <v>696</v>
      </c>
      <c r="F51" s="303">
        <f ca="1">F8</f>
        <v>365</v>
      </c>
      <c r="I51" s="1432" t="s">
        <v>827</v>
      </c>
      <c r="J51" s="1433">
        <f>IF(J49="",J50,J49+J50-YEAR('数据-取费表'!B2))</f>
        <v>31</v>
      </c>
      <c r="K51" s="1434" t="s">
        <v>828</v>
      </c>
      <c r="L51" s="1435">
        <f ca="1">ROUND(-PV(INDIRECT("'数据-取费表'!h"&amp;$G$1),J51,(C39-C13*C76),0),0)</f>
        <v>2767</v>
      </c>
      <c r="M51" s="1436"/>
      <c r="O51" s="1428" t="s">
        <v>407</v>
      </c>
      <c r="P51" s="1419" t="s">
        <v>829</v>
      </c>
      <c r="Q51" s="1431">
        <f>J52</f>
        <v>7.4999999999999997E-2</v>
      </c>
      <c r="R51" s="1420"/>
    </row>
    <row r="52" spans="1:18" s="1384" customFormat="1" ht="13.5" thickBot="1">
      <c r="A52" s="977"/>
      <c r="B52" s="979"/>
      <c r="C52" s="980"/>
      <c r="D52" s="953"/>
      <c r="E52" s="981" t="s">
        <v>697</v>
      </c>
      <c r="F52" s="1054"/>
      <c r="I52" s="1437" t="s">
        <v>830</v>
      </c>
      <c r="J52" s="1438">
        <v>7.4999999999999997E-2</v>
      </c>
      <c r="K52" s="1437" t="s">
        <v>831</v>
      </c>
      <c r="L52" s="1438">
        <v>0.05</v>
      </c>
      <c r="O52" s="1428" t="s">
        <v>408</v>
      </c>
      <c r="P52" s="1419" t="s">
        <v>832</v>
      </c>
      <c r="Q52" s="1420">
        <f ca="1">J53</f>
        <v>30.86</v>
      </c>
      <c r="R52" s="1420" t="s">
        <v>833</v>
      </c>
    </row>
    <row r="53" spans="1:18" s="1384" customFormat="1" ht="24.75" thickBot="1">
      <c r="A53" s="1152" t="s">
        <v>440</v>
      </c>
      <c r="B53" s="1373" t="s">
        <v>698</v>
      </c>
      <c r="C53" s="316">
        <f ca="1">ROUND(IF(F53="押一",C49/12*F11,IF(F53="押二",C49/12*2*F11,IF(F53="押三",C49/12*3*F11,C54*F11))),0)</f>
        <v>0</v>
      </c>
      <c r="D53" s="1366" t="s">
        <v>2113</v>
      </c>
      <c r="E53" s="313" t="s">
        <v>699</v>
      </c>
      <c r="F53" s="1116"/>
      <c r="I53" s="1439" t="s">
        <v>834</v>
      </c>
      <c r="J53" s="2168">
        <f ca="1">IF(M47="住宅",IF(D1="——",MAX(J51,L48),MAX(J51,L48-'数据-取费表'!B24)),IF(D1="——",MIN(J51,L48),MIN(J51,L48-'数据-取费表'!B24)))</f>
        <v>30.86</v>
      </c>
      <c r="K53" s="3872" t="s">
        <v>835</v>
      </c>
      <c r="L53" s="3873"/>
      <c r="O53" s="1418" t="s">
        <v>409</v>
      </c>
      <c r="P53" s="1419" t="s">
        <v>836</v>
      </c>
      <c r="Q53" s="1420">
        <f ca="1">Q47+Q48</f>
        <v>3211</v>
      </c>
      <c r="R53" s="1420" t="s">
        <v>410</v>
      </c>
    </row>
    <row r="54" spans="1:18" s="1384" customFormat="1" ht="13.5" thickBot="1">
      <c r="A54" s="1153"/>
      <c r="B54" s="1367" t="s">
        <v>677</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837</v>
      </c>
      <c r="P54" s="1381"/>
      <c r="Q54" s="1381"/>
      <c r="R54" s="1381"/>
    </row>
    <row r="55" spans="1:18" s="1384" customFormat="1" ht="13.5" thickBot="1">
      <c r="A55" s="1083" t="s">
        <v>437</v>
      </c>
      <c r="B55" s="1369" t="s">
        <v>701</v>
      </c>
      <c r="C55" s="1084"/>
      <c r="D55" s="1366"/>
      <c r="E55" s="1374"/>
      <c r="F55" s="1440"/>
      <c r="I55" s="1443" t="s">
        <v>838</v>
      </c>
      <c r="J55" s="1444">
        <f ca="1">ROUND(IF(J47="钢混",J57/J50,1-(1-2%)*(J50-J57)/J50),3)</f>
        <v>2E-3</v>
      </c>
      <c r="K55" s="1445" t="s">
        <v>839</v>
      </c>
      <c r="L55" s="1446"/>
      <c r="O55" s="1411" t="s">
        <v>809</v>
      </c>
      <c r="P55" s="1412" t="s">
        <v>810</v>
      </c>
      <c r="Q55" s="1413" t="s">
        <v>811</v>
      </c>
      <c r="R55" s="1413" t="s">
        <v>812</v>
      </c>
    </row>
    <row r="56" spans="1:18" s="1384" customFormat="1" ht="25.5" thickTop="1" thickBot="1">
      <c r="A56" s="957">
        <v>2</v>
      </c>
      <c r="B56" s="958" t="s">
        <v>702</v>
      </c>
      <c r="C56" s="232">
        <f ca="1">C13</f>
        <v>551</v>
      </c>
      <c r="D56" s="1447"/>
      <c r="E56" s="1448"/>
      <c r="F56" s="1440"/>
      <c r="I56" s="1449" t="s">
        <v>840</v>
      </c>
      <c r="J56" s="1450" t="s">
        <v>3546</v>
      </c>
      <c r="K56" s="1421" t="s">
        <v>841</v>
      </c>
      <c r="L56" s="1424" t="str">
        <f ca="1">IF(L48&lt;J51,"——",L48-J53)</f>
        <v>——</v>
      </c>
      <c r="O56" s="1418" t="s">
        <v>403</v>
      </c>
      <c r="P56" s="1419" t="s">
        <v>815</v>
      </c>
      <c r="Q56" s="1420">
        <f ca="1">C40+J29</f>
        <v>3175</v>
      </c>
      <c r="R56" s="1420" t="s">
        <v>816</v>
      </c>
    </row>
    <row r="57" spans="1:18" s="1384" customFormat="1" ht="24.75" thickBot="1">
      <c r="A57" s="1451"/>
      <c r="B57" s="950" t="s">
        <v>765</v>
      </c>
      <c r="C57" s="238">
        <f ca="1">C29</f>
        <v>847</v>
      </c>
      <c r="D57" s="1452"/>
      <c r="E57" s="1453"/>
      <c r="F57" s="1454"/>
      <c r="I57" s="1455" t="s">
        <v>842</v>
      </c>
      <c r="J57" s="1456">
        <f ca="1">IF(OR(M47="住宅",J51&lt;L48,J56="是"),"——",J51-L48)</f>
        <v>0.14000000000000057</v>
      </c>
      <c r="K57" s="1421" t="s">
        <v>843</v>
      </c>
      <c r="L57" s="1424" t="str">
        <f ca="1">IF(L48&lt;J51,"——",IF(L55="比较法",L49,IF(L55="基准地价",L50,L51)))</f>
        <v>——</v>
      </c>
      <c r="O57" s="1418" t="s">
        <v>404</v>
      </c>
      <c r="P57" s="1419" t="s">
        <v>844</v>
      </c>
      <c r="Q57" s="1420">
        <f ca="1">L60</f>
        <v>0</v>
      </c>
      <c r="R57" s="1420" t="s">
        <v>845</v>
      </c>
    </row>
    <row r="58" spans="1:18" s="1384" customFormat="1" ht="24.75" thickBot="1">
      <c r="A58" s="315" t="s">
        <v>393</v>
      </c>
      <c r="B58" s="958" t="s">
        <v>712</v>
      </c>
      <c r="C58" s="316">
        <f ca="1">ROUND(C59+C64+C65+C66,0)</f>
        <v>5</v>
      </c>
      <c r="D58" s="960" t="s">
        <v>713</v>
      </c>
      <c r="E58" s="961"/>
      <c r="F58" s="962"/>
      <c r="I58" s="1455" t="s">
        <v>846</v>
      </c>
      <c r="J58" s="1457">
        <f ca="1">IF(J55&lt;0.4,0.4,J55)</f>
        <v>0.4</v>
      </c>
      <c r="K58" s="1434" t="s">
        <v>847</v>
      </c>
      <c r="L58" s="1424">
        <f ca="1">ROUND(POWER(1+L52,L47-L48)*(POWER(1+L52,L48)-1)/(POWER(1+L52,L47)-1),4)</f>
        <v>0.85250000000000004</v>
      </c>
      <c r="O58" s="1428" t="s">
        <v>405</v>
      </c>
      <c r="P58" s="1419" t="s">
        <v>848</v>
      </c>
      <c r="Q58" s="1420">
        <f>IF(L55="比较法",L49,IF(L55="基准地价",L50,0))</f>
        <v>0</v>
      </c>
      <c r="R58" s="1420" t="s">
        <v>816</v>
      </c>
    </row>
    <row r="59" spans="1:18" s="1384" customFormat="1" ht="24.75" thickBot="1">
      <c r="A59" s="982" t="s">
        <v>398</v>
      </c>
      <c r="B59" s="950" t="s">
        <v>717</v>
      </c>
      <c r="C59" s="2316">
        <f ca="1">ROUND(IF(AND(项目基本情况!B11="自然人",项目基本情况!B10="北京市"),C49*F59/(1+'数据-取费表'!C42),C60+C61+C62),0)</f>
        <v>0</v>
      </c>
      <c r="D59" s="963" t="s">
        <v>718</v>
      </c>
      <c r="E59" s="964" t="s">
        <v>719</v>
      </c>
      <c r="F59" s="2315" t="str">
        <f>IF(项目基本情况!B11="企业","——",IF('数据-取费表'!B10="住宅",IF(F49*F50*F51/12/(1+'数据-取费表'!F30)&gt;100000,4%,2.5%),IF(F49*F50*F51/12/(1+'数据-取费表'!F30)&gt;100000,12%,7%)))</f>
        <v>——</v>
      </c>
      <c r="I59" s="1455" t="s">
        <v>849</v>
      </c>
      <c r="J59" s="1456">
        <f ca="1">IF(OR(M47="住宅",J51&lt;L48,J56="是"),"——",ROUND(C29*J58,0))</f>
        <v>339</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f ca="1">ROUND(IF(D1="在建（套用方法）",M59,IF(D1="土地（套用方法）",N59,POWER(1+L52,L47-J51)*(POWER(1+L52,J51)-1)/(POWER(1+L52,L47)-1))),4)</f>
        <v>0.85409999999999997</v>
      </c>
      <c r="M59" s="1380">
        <f ca="1">ROUND(POWER(1+L52,L47-(J51+'数据-取费表'!B24))*(POWER(1+L52,(J51+'数据-取费表'!B24))-1)/(POWER(1+L52,L47)-1),4)</f>
        <v>0.85409999999999997</v>
      </c>
      <c r="N59" s="1380">
        <f ca="1">ROUND(POWER(1+L52,L47-(J51+'数据-取费表'!B20))*(POWER(1+L52,(J51+'数据-取费表'!B20))-1)/(POWER(1+L52,L47)-1),4)</f>
        <v>0.87660000000000005</v>
      </c>
      <c r="O59" s="1428" t="s">
        <v>406</v>
      </c>
      <c r="P59" s="1419" t="s">
        <v>850</v>
      </c>
      <c r="Q59" s="1431">
        <f>L52</f>
        <v>0.05</v>
      </c>
      <c r="R59" s="1420"/>
    </row>
    <row r="60" spans="1:18" s="1384" customFormat="1" ht="16.5" thickBot="1">
      <c r="A60" s="982" t="s">
        <v>397</v>
      </c>
      <c r="B60" s="950" t="s">
        <v>721</v>
      </c>
      <c r="C60" s="21">
        <f ca="1">IF(项目基本情况!B11="自然人","——",ROUND(C48*F60/(1+'数据-取费表'!C42),2))</f>
        <v>0</v>
      </c>
      <c r="D60" s="964" t="s">
        <v>722</v>
      </c>
      <c r="E60" s="950" t="s">
        <v>710</v>
      </c>
      <c r="F60" s="331">
        <f t="shared" ref="F60:F66" si="0">F32</f>
        <v>5.6000000000000001E-2</v>
      </c>
      <c r="I60" s="1458" t="s">
        <v>851</v>
      </c>
      <c r="J60" s="1459">
        <f ca="1">IF(OR(M47="住宅",J51&lt;L48,J56="是"),"0",ROUND(J59/(1+J52)^J53,0))</f>
        <v>36</v>
      </c>
      <c r="K60" s="1460" t="s">
        <v>852</v>
      </c>
      <c r="L60" s="1459">
        <f ca="1">IF(OR(M47="住宅",L48&lt;J51),0,ROUND(L57*(L58/L59-1),0))</f>
        <v>0</v>
      </c>
      <c r="O60" s="1428" t="s">
        <v>407</v>
      </c>
      <c r="P60" s="1419" t="s">
        <v>853</v>
      </c>
      <c r="Q60" s="1420">
        <f ca="1">L58</f>
        <v>0.85250000000000004</v>
      </c>
      <c r="R60" s="1420" t="s">
        <v>854</v>
      </c>
    </row>
    <row r="61" spans="1:18" s="1384" customFormat="1" ht="13.5" thickBot="1">
      <c r="A61" s="982" t="s">
        <v>779</v>
      </c>
      <c r="B61" s="950" t="s">
        <v>780</v>
      </c>
      <c r="C61" s="21">
        <f ca="1">IF(项目基本情况!B11="自然人","——",IF(D61="按租金收入计税",ROUND(C49*F61/(1+'数据-取费表'!C42),2),IF(D61="按房产原值计税",ROUND(C57*F61*0.7,2),INDIRECT("'数据-取费表'!Aj"&amp;$G$1))))</f>
        <v>0</v>
      </c>
      <c r="D61" s="1370" t="s">
        <v>3337</v>
      </c>
      <c r="E61" s="950" t="s">
        <v>781</v>
      </c>
      <c r="F61" s="322">
        <f t="shared" si="0"/>
        <v>0.12</v>
      </c>
      <c r="I61" s="1461"/>
      <c r="J61" s="1461"/>
      <c r="K61" s="1461"/>
      <c r="L61" s="1461"/>
      <c r="O61" s="1428" t="s">
        <v>408</v>
      </c>
      <c r="P61" s="1419" t="str">
        <f>K59</f>
        <v>建筑物剩余耐用年限下的土地年期修正系数Kn</v>
      </c>
      <c r="Q61" s="1420">
        <f ca="1">L59</f>
        <v>0.85409999999999997</v>
      </c>
      <c r="R61" s="1420" t="s">
        <v>855</v>
      </c>
    </row>
    <row r="62" spans="1:18" s="1384" customFormat="1" ht="13.5" thickBot="1">
      <c r="A62" s="982" t="s">
        <v>782</v>
      </c>
      <c r="B62" s="949" t="s">
        <v>783</v>
      </c>
      <c r="C62" s="22">
        <f ca="1">IF(项目基本情况!B11="自然人","——",ROUND(F62*F63/10000,2))</f>
        <v>0</v>
      </c>
      <c r="D62" s="965" t="s">
        <v>784</v>
      </c>
      <c r="E62" s="950" t="s">
        <v>785</v>
      </c>
      <c r="F62" s="325">
        <f t="shared" si="0"/>
        <v>0</v>
      </c>
      <c r="I62" s="1462" t="s">
        <v>856</v>
      </c>
      <c r="J62" s="1463" t="s">
        <v>857</v>
      </c>
      <c r="K62" s="1463" t="s">
        <v>858</v>
      </c>
      <c r="L62" s="1463" t="s">
        <v>859</v>
      </c>
      <c r="M62" s="1464" t="s">
        <v>860</v>
      </c>
      <c r="O62" s="1418" t="s">
        <v>409</v>
      </c>
      <c r="P62" s="1419" t="s">
        <v>861</v>
      </c>
      <c r="Q62" s="1420">
        <f ca="1">Q56+Q57</f>
        <v>3175</v>
      </c>
      <c r="R62" s="1420" t="s">
        <v>410</v>
      </c>
    </row>
    <row r="63" spans="1:18" s="1384" customFormat="1" ht="13.5" thickBot="1">
      <c r="A63" s="326"/>
      <c r="B63" s="956"/>
      <c r="C63" s="26"/>
      <c r="D63" s="966"/>
      <c r="E63" s="950" t="s">
        <v>786</v>
      </c>
      <c r="F63" s="303">
        <f t="shared" ca="1" si="0"/>
        <v>0</v>
      </c>
      <c r="I63" s="1462" t="s">
        <v>862</v>
      </c>
      <c r="J63" s="1463">
        <v>70</v>
      </c>
      <c r="K63" s="1463">
        <v>50</v>
      </c>
      <c r="L63" s="1463">
        <v>80</v>
      </c>
      <c r="M63" s="1465">
        <v>0.02</v>
      </c>
      <c r="O63" s="1403" t="s">
        <v>863</v>
      </c>
      <c r="P63" s="1381"/>
      <c r="Q63" s="1381"/>
      <c r="R63" s="1381"/>
    </row>
    <row r="64" spans="1:18" s="1384" customFormat="1" ht="13.5" thickBot="1">
      <c r="A64" s="982" t="s">
        <v>787</v>
      </c>
      <c r="B64" s="950" t="s">
        <v>788</v>
      </c>
      <c r="C64" s="21">
        <f ca="1">ROUND(C57*F64,2)</f>
        <v>4.24</v>
      </c>
      <c r="D64" s="964" t="s">
        <v>789</v>
      </c>
      <c r="E64" s="950" t="s">
        <v>781</v>
      </c>
      <c r="F64" s="328">
        <f t="shared" ca="1" si="0"/>
        <v>5.0000000000000001E-3</v>
      </c>
      <c r="I64" s="1462" t="s">
        <v>864</v>
      </c>
      <c r="J64" s="1463">
        <v>50</v>
      </c>
      <c r="K64" s="1463">
        <v>35</v>
      </c>
      <c r="L64" s="1463">
        <v>60</v>
      </c>
      <c r="M64" s="1464">
        <v>0</v>
      </c>
      <c r="O64" s="1411" t="s">
        <v>809</v>
      </c>
      <c r="P64" s="1412" t="s">
        <v>810</v>
      </c>
      <c r="Q64" s="1413" t="s">
        <v>811</v>
      </c>
      <c r="R64" s="1413" t="s">
        <v>812</v>
      </c>
    </row>
    <row r="65" spans="1:18" s="1384" customFormat="1" ht="13.5" thickBot="1">
      <c r="A65" s="982" t="s">
        <v>790</v>
      </c>
      <c r="B65" s="950" t="s">
        <v>740</v>
      </c>
      <c r="C65" s="21">
        <f ca="1">ROUND(C56*F65,2)</f>
        <v>0.55000000000000004</v>
      </c>
      <c r="D65" s="964" t="s">
        <v>741</v>
      </c>
      <c r="E65" s="950" t="s">
        <v>742</v>
      </c>
      <c r="F65" s="330">
        <f t="shared" ca="1" si="0"/>
        <v>1E-3</v>
      </c>
      <c r="I65" s="1462" t="s">
        <v>865</v>
      </c>
      <c r="J65" s="1463">
        <v>40</v>
      </c>
      <c r="K65" s="1463">
        <v>30</v>
      </c>
      <c r="L65" s="1463">
        <v>50</v>
      </c>
      <c r="M65" s="1465">
        <v>0.02</v>
      </c>
      <c r="O65" s="1418" t="s">
        <v>403</v>
      </c>
      <c r="P65" s="1419" t="s">
        <v>866</v>
      </c>
      <c r="Q65" s="1420">
        <f ca="1">C40+J29</f>
        <v>3175</v>
      </c>
      <c r="R65" s="1420" t="s">
        <v>816</v>
      </c>
    </row>
    <row r="66" spans="1:18" s="1384" customFormat="1" ht="16.5" thickBot="1">
      <c r="A66" s="982" t="s">
        <v>791</v>
      </c>
      <c r="B66" s="950" t="s">
        <v>726</v>
      </c>
      <c r="C66" s="21">
        <f ca="1">ROUND(C48*F66,2)</f>
        <v>0</v>
      </c>
      <c r="D66" s="964" t="s">
        <v>792</v>
      </c>
      <c r="E66" s="950" t="s">
        <v>710</v>
      </c>
      <c r="F66" s="312">
        <f t="shared" ca="1" si="0"/>
        <v>0.01</v>
      </c>
      <c r="O66" s="1418" t="s">
        <v>404</v>
      </c>
      <c r="P66" s="1419" t="s">
        <v>844</v>
      </c>
      <c r="Q66" s="1420">
        <f ca="1">L60</f>
        <v>0</v>
      </c>
      <c r="R66" s="1420" t="s">
        <v>867</v>
      </c>
    </row>
    <row r="67" spans="1:18" s="1384" customFormat="1" ht="16.5" thickBot="1">
      <c r="A67" s="957" t="s">
        <v>394</v>
      </c>
      <c r="B67" s="967" t="s">
        <v>750</v>
      </c>
      <c r="C67" s="316">
        <f ca="1">C48-C58</f>
        <v>-5</v>
      </c>
      <c r="D67" s="963" t="s">
        <v>751</v>
      </c>
      <c r="E67" s="968"/>
      <c r="F67" s="969"/>
      <c r="O67" s="1428" t="s">
        <v>405</v>
      </c>
      <c r="P67" s="1419" t="s">
        <v>848</v>
      </c>
      <c r="Q67" s="1466">
        <f ca="1">L51</f>
        <v>2767</v>
      </c>
      <c r="R67" s="1420" t="s">
        <v>868</v>
      </c>
    </row>
    <row r="68" spans="1:18" s="1384" customFormat="1" ht="16.5" thickBot="1">
      <c r="A68" s="947" t="s">
        <v>395</v>
      </c>
      <c r="B68" s="948" t="s">
        <v>772</v>
      </c>
      <c r="C68" s="301">
        <f ca="1">ROUND(C67*(1-((1+F70)/(1+F68))^F69)/(F68-F70),0)</f>
        <v>-73</v>
      </c>
      <c r="D68" s="965" t="s">
        <v>756</v>
      </c>
      <c r="E68" s="950" t="s">
        <v>757</v>
      </c>
      <c r="F68" s="312">
        <f ca="1">F40</f>
        <v>5.5E-2</v>
      </c>
      <c r="O68" s="1428" t="s">
        <v>406</v>
      </c>
      <c r="P68" s="1467" t="s">
        <v>869</v>
      </c>
      <c r="Q68" s="1420">
        <f ca="1">ROUND(Q69-Q70*Q71,0)</f>
        <v>177</v>
      </c>
      <c r="R68" s="1420" t="s">
        <v>414</v>
      </c>
    </row>
    <row r="69" spans="1:18" s="1384" customFormat="1" ht="13.5" thickBot="1">
      <c r="A69" s="951"/>
      <c r="B69" s="952"/>
      <c r="C69" s="306"/>
      <c r="D69" s="970" t="s">
        <v>760</v>
      </c>
      <c r="E69" s="950" t="s">
        <v>761</v>
      </c>
      <c r="F69" s="333">
        <f ca="1">F41</f>
        <v>30.86</v>
      </c>
      <c r="O69" s="1428" t="s">
        <v>411</v>
      </c>
      <c r="P69" s="1467" t="s">
        <v>870</v>
      </c>
      <c r="Q69" s="1420">
        <f ca="1">C39</f>
        <v>216</v>
      </c>
      <c r="R69" s="1420" t="s">
        <v>816</v>
      </c>
    </row>
    <row r="70" spans="1:18" s="1384" customFormat="1" ht="13.5" thickBot="1">
      <c r="A70" s="954"/>
      <c r="B70" s="955"/>
      <c r="C70" s="310"/>
      <c r="D70" s="966"/>
      <c r="E70" s="950" t="s">
        <v>764</v>
      </c>
      <c r="F70" s="1054"/>
      <c r="O70" s="1428" t="s">
        <v>412</v>
      </c>
      <c r="P70" s="1467" t="s">
        <v>871</v>
      </c>
      <c r="Q70" s="1420">
        <f ca="1">C13</f>
        <v>551</v>
      </c>
      <c r="R70" s="1420" t="s">
        <v>816</v>
      </c>
    </row>
    <row r="71" spans="1:18" s="1384" customFormat="1" ht="13.5" thickBot="1">
      <c r="A71" s="971" t="s">
        <v>396</v>
      </c>
      <c r="B71" s="972" t="s">
        <v>774</v>
      </c>
      <c r="C71" s="336">
        <f ca="1">ROUND(C68*10000/F71,0)</f>
        <v>-625</v>
      </c>
      <c r="D71" s="973" t="s">
        <v>775</v>
      </c>
      <c r="E71" s="974" t="s">
        <v>776</v>
      </c>
      <c r="F71" s="339">
        <f ca="1">F43</f>
        <v>1168.2</v>
      </c>
      <c r="O71" s="1428" t="s">
        <v>413</v>
      </c>
      <c r="P71" s="1467" t="s">
        <v>872</v>
      </c>
      <c r="Q71" s="1431">
        <f ca="1">C76</f>
        <v>7.0000000000000007E-2</v>
      </c>
      <c r="R71" s="1420"/>
    </row>
    <row r="72" spans="1:18" s="1384" customFormat="1" ht="13.5" thickBot="1">
      <c r="B72" s="726"/>
      <c r="C72" s="726"/>
      <c r="O72" s="1428" t="s">
        <v>407</v>
      </c>
      <c r="P72" s="1419" t="s">
        <v>850</v>
      </c>
      <c r="Q72" s="1431">
        <f>L52</f>
        <v>0.05</v>
      </c>
      <c r="R72" s="1420"/>
    </row>
    <row r="73" spans="1:18" ht="16.5" thickBot="1">
      <c r="A73" s="1384"/>
      <c r="B73" s="726"/>
      <c r="C73" s="726"/>
      <c r="D73" s="1384"/>
      <c r="E73" s="1384"/>
      <c r="F73" s="1384"/>
      <c r="O73" s="1428" t="s">
        <v>408</v>
      </c>
      <c r="P73" s="1419" t="s">
        <v>853</v>
      </c>
      <c r="Q73" s="1420">
        <f ca="1">L58</f>
        <v>0.85250000000000004</v>
      </c>
      <c r="R73" s="1420" t="s">
        <v>854</v>
      </c>
    </row>
    <row r="74" spans="1:18" ht="13.5" thickBot="1">
      <c r="A74" s="1384"/>
      <c r="B74" s="273" t="s">
        <v>873</v>
      </c>
      <c r="C74" s="1469"/>
      <c r="D74" s="1384"/>
      <c r="E74" s="1384"/>
      <c r="F74" s="1384"/>
      <c r="O74" s="1428" t="s">
        <v>415</v>
      </c>
      <c r="P74" s="1419" t="str">
        <f>K59</f>
        <v>建筑物剩余耐用年限下的土地年期修正系数Kn</v>
      </c>
      <c r="Q74" s="1420">
        <f ca="1">L59</f>
        <v>0.85409999999999997</v>
      </c>
      <c r="R74" s="1420" t="s">
        <v>855</v>
      </c>
    </row>
    <row r="75" spans="1:18" ht="13.5" thickBot="1">
      <c r="A75" s="1384"/>
      <c r="B75" s="340" t="s">
        <v>793</v>
      </c>
      <c r="C75" s="341">
        <f ca="1">ROUND(C13*C76,0)</f>
        <v>39</v>
      </c>
      <c r="D75" s="1384"/>
      <c r="E75" s="1384"/>
      <c r="F75" s="1384"/>
      <c r="K75" s="1402"/>
      <c r="L75" s="1384"/>
      <c r="O75" s="1418" t="s">
        <v>409</v>
      </c>
      <c r="P75" s="1419" t="s">
        <v>836</v>
      </c>
      <c r="Q75" s="1420">
        <f ca="1">Q65+Q66</f>
        <v>3175</v>
      </c>
      <c r="R75" s="1420" t="s">
        <v>410</v>
      </c>
    </row>
    <row r="76" spans="1:18">
      <c r="B76" s="342" t="s">
        <v>794</v>
      </c>
      <c r="C76" s="343">
        <f ca="1">INDIRECT("'数据-取费表'!j"&amp;$G$1)</f>
        <v>7.0000000000000007E-2</v>
      </c>
      <c r="I76" s="1384"/>
      <c r="J76" s="1384"/>
      <c r="K76" s="1402"/>
      <c r="L76" s="1384"/>
    </row>
    <row r="77" spans="1:18">
      <c r="B77" s="344" t="s">
        <v>795</v>
      </c>
      <c r="C77" s="345"/>
      <c r="I77" s="1384"/>
      <c r="J77" s="1384"/>
      <c r="K77" s="1402"/>
      <c r="L77" s="1384"/>
    </row>
    <row r="78" spans="1:18">
      <c r="B78" s="270" t="s">
        <v>796</v>
      </c>
      <c r="C78" s="346"/>
    </row>
    <row r="79" spans="1:18">
      <c r="B79" s="340" t="s">
        <v>797</v>
      </c>
      <c r="C79" s="274">
        <f ca="1">1-C80</f>
        <v>0.81899999999999995</v>
      </c>
    </row>
    <row r="80" spans="1:18">
      <c r="B80" s="340" t="s">
        <v>798</v>
      </c>
      <c r="C80" s="274">
        <f ca="1">ROUND(C75/C39,3)</f>
        <v>0.18099999999999999</v>
      </c>
    </row>
    <row r="81" spans="2:3">
      <c r="B81" s="270" t="s">
        <v>799</v>
      </c>
      <c r="C81" s="238"/>
    </row>
    <row r="82" spans="2:3">
      <c r="B82" s="273" t="s">
        <v>800</v>
      </c>
      <c r="C82" s="275">
        <f ca="1">1-C83</f>
        <v>0.82600000000000007</v>
      </c>
    </row>
    <row r="83" spans="2:3">
      <c r="B83" s="273" t="s">
        <v>801</v>
      </c>
      <c r="C83" s="274">
        <f ca="1">ROUND(C13/C40,3)</f>
        <v>0.17399999999999999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206" priority="56">
      <formula>$L$48&gt;$J$51</formula>
    </cfRule>
  </conditionalFormatting>
  <conditionalFormatting sqref="I55 I60">
    <cfRule type="expression" dxfId="205" priority="57">
      <formula>$J$51&gt;$L$48</formula>
    </cfRule>
  </conditionalFormatting>
  <conditionalFormatting sqref="C11">
    <cfRule type="expression" dxfId="204" priority="3">
      <formula>$F$10="自定义"</formula>
    </cfRule>
  </conditionalFormatting>
  <conditionalFormatting sqref="J11">
    <cfRule type="expression" dxfId="203" priority="2">
      <formula>$M$10="自定义"</formula>
    </cfRule>
  </conditionalFormatting>
  <conditionalFormatting sqref="C54">
    <cfRule type="expression" dxfId="20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875</v>
      </c>
      <c r="B1" s="713"/>
      <c r="C1" s="1379"/>
      <c r="D1" s="1362" t="s">
        <v>43</v>
      </c>
      <c r="E1" s="1363" t="s">
        <v>676</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876</v>
      </c>
      <c r="B2" s="3425" t="e">
        <f ca="1">ROUND(D2/10000,4)</f>
        <v>#DIV/0!</v>
      </c>
      <c r="C2" s="1387" t="s">
        <v>877</v>
      </c>
      <c r="D2" s="1471" t="e">
        <f ca="1">C40+J29+L46</f>
        <v>#DIV/0!</v>
      </c>
      <c r="E2" s="1388" t="s">
        <v>878</v>
      </c>
      <c r="F2" s="1389"/>
      <c r="G2" s="2706"/>
      <c r="H2" s="2695"/>
      <c r="I2" s="2695"/>
      <c r="J2" s="2695"/>
      <c r="K2" s="2696"/>
      <c r="L2" s="2695"/>
      <c r="M2" s="2695"/>
    </row>
    <row r="3" spans="1:37" ht="18" customHeight="1" thickBot="1">
      <c r="A3" s="1390" t="s">
        <v>879</v>
      </c>
      <c r="B3" s="1391">
        <f ca="1">IF(ISERROR(D2/F43),0,ROUND(D2/F43,0))</f>
        <v>0</v>
      </c>
      <c r="C3" s="1387" t="s">
        <v>880</v>
      </c>
      <c r="D3" s="1387"/>
      <c r="E3" s="1388"/>
      <c r="F3" s="1389"/>
      <c r="G3" s="2706"/>
      <c r="H3" s="683" t="s">
        <v>874</v>
      </c>
      <c r="I3" s="1382"/>
      <c r="J3" s="1382"/>
      <c r="K3" s="1383"/>
      <c r="L3" s="1382"/>
      <c r="M3" s="1382"/>
    </row>
    <row r="4" spans="1:37" ht="18" customHeight="1">
      <c r="A4" s="295" t="s">
        <v>881</v>
      </c>
      <c r="B4" s="296" t="s">
        <v>882</v>
      </c>
      <c r="C4" s="296" t="s">
        <v>883</v>
      </c>
      <c r="D4" s="296" t="s">
        <v>884</v>
      </c>
      <c r="E4" s="297" t="s">
        <v>885</v>
      </c>
      <c r="F4" s="298"/>
      <c r="G4" s="1384"/>
      <c r="H4" s="295" t="s">
        <v>881</v>
      </c>
      <c r="I4" s="296" t="s">
        <v>882</v>
      </c>
      <c r="J4" s="296" t="s">
        <v>883</v>
      </c>
      <c r="K4" s="296" t="s">
        <v>884</v>
      </c>
      <c r="L4" s="297" t="s">
        <v>885</v>
      </c>
      <c r="M4" s="298"/>
    </row>
    <row r="5" spans="1:37" ht="18" customHeight="1">
      <c r="A5" s="299">
        <v>1</v>
      </c>
      <c r="B5" s="300" t="s">
        <v>886</v>
      </c>
      <c r="C5" s="1070">
        <f ca="1">C6+C10+C12</f>
        <v>0</v>
      </c>
      <c r="D5" s="1364" t="s">
        <v>887</v>
      </c>
      <c r="E5" s="1071"/>
      <c r="F5" s="1072"/>
      <c r="G5" s="1384"/>
      <c r="H5" s="299">
        <v>1</v>
      </c>
      <c r="I5" s="300" t="s">
        <v>886</v>
      </c>
      <c r="J5" s="1070">
        <f ca="1">J6+J10+J12</f>
        <v>0</v>
      </c>
      <c r="K5" s="1364" t="s">
        <v>887</v>
      </c>
      <c r="L5" s="1071"/>
      <c r="M5" s="1072"/>
    </row>
    <row r="6" spans="1:37" ht="18" customHeight="1">
      <c r="A6" s="1069" t="s">
        <v>398</v>
      </c>
      <c r="B6" s="3874" t="s">
        <v>692</v>
      </c>
      <c r="C6" s="1074">
        <f ca="1">ROUND(F6*F8*F7*(1-F9),0)</f>
        <v>0</v>
      </c>
      <c r="D6" s="155" t="s">
        <v>2103</v>
      </c>
      <c r="E6" s="302" t="s">
        <v>694</v>
      </c>
      <c r="F6" s="303">
        <f ca="1">INDIRECT("'数据-取费表'!u"&amp;$G$1)</f>
        <v>0</v>
      </c>
      <c r="G6" s="1384"/>
      <c r="H6" s="1069" t="s">
        <v>398</v>
      </c>
      <c r="I6" s="3874" t="s">
        <v>692</v>
      </c>
      <c r="J6" s="301">
        <f ca="1">ROUND(M6*M8*M7*(1-M9),0)</f>
        <v>0</v>
      </c>
      <c r="K6" s="1376" t="s">
        <v>2104</v>
      </c>
      <c r="L6" s="302" t="s">
        <v>694</v>
      </c>
      <c r="M6" s="303">
        <f ca="1">INDIRECT("'数据-取费表'!z"&amp;$G$1)</f>
        <v>0</v>
      </c>
    </row>
    <row r="7" spans="1:37" ht="18" customHeight="1">
      <c r="A7" s="1073"/>
      <c r="B7" s="3875"/>
      <c r="C7" s="1075"/>
      <c r="D7" s="307"/>
      <c r="E7" s="1076" t="s">
        <v>695</v>
      </c>
      <c r="F7" s="303">
        <f ca="1">IF(INDIRECT("'数据-取费表'!ah"&amp;$G$1)="",INDIRECT("'数据-取费表'!k"&amp;$G$1),INDIRECT("'数据-取费表'!ah"&amp;$G$1))</f>
        <v>0</v>
      </c>
      <c r="G7" s="1384"/>
      <c r="H7" s="304"/>
      <c r="I7" s="3875"/>
      <c r="J7" s="306"/>
      <c r="K7" s="307"/>
      <c r="L7" s="302" t="s">
        <v>695</v>
      </c>
      <c r="M7" s="303">
        <f ca="1">F7</f>
        <v>0</v>
      </c>
    </row>
    <row r="8" spans="1:37" ht="18" customHeight="1">
      <c r="A8" s="304"/>
      <c r="B8" s="3875"/>
      <c r="C8" s="306"/>
      <c r="D8" s="307"/>
      <c r="E8" s="302" t="s">
        <v>696</v>
      </c>
      <c r="F8" s="303">
        <f ca="1">INDIRECT("'数据-取费表'!ai"&amp;$G$1)</f>
        <v>0</v>
      </c>
      <c r="G8" s="1384"/>
      <c r="H8" s="304"/>
      <c r="I8" s="3875"/>
      <c r="J8" s="306"/>
      <c r="K8" s="307"/>
      <c r="L8" s="302" t="s">
        <v>696</v>
      </c>
      <c r="M8" s="303">
        <f ca="1">INDIRECT("'数据-取费表'!ai"&amp;$G$1)</f>
        <v>0</v>
      </c>
    </row>
    <row r="9" spans="1:37" ht="18" customHeight="1">
      <c r="A9" s="304"/>
      <c r="B9" s="3876"/>
      <c r="C9" s="306"/>
      <c r="D9" s="307"/>
      <c r="E9" s="302" t="s">
        <v>697</v>
      </c>
      <c r="F9" s="312">
        <f ca="1">INDIRECT("'数据-取费表'!w"&amp;$G$1)</f>
        <v>0</v>
      </c>
      <c r="G9" s="1384"/>
      <c r="H9" s="304"/>
      <c r="I9" s="3876"/>
      <c r="J9" s="306"/>
      <c r="K9" s="307"/>
      <c r="L9" s="313" t="s">
        <v>697</v>
      </c>
      <c r="M9" s="314">
        <f ca="1">INDIRECT("'数据-取费表'!ab"&amp;$G$1)</f>
        <v>0</v>
      </c>
    </row>
    <row r="10" spans="1:37" ht="18" customHeight="1">
      <c r="A10" s="1069" t="s">
        <v>402</v>
      </c>
      <c r="B10" s="1365" t="s">
        <v>698</v>
      </c>
      <c r="C10" s="316">
        <f ca="1">ROUND(IF(F10="押一",C6/12*F11,IF(F10="押二",C6/12*2*F11,IF(F10="押三",C6/12*3*F11,C11*F11))),0)</f>
        <v>0</v>
      </c>
      <c r="D10" s="1366" t="s">
        <v>2113</v>
      </c>
      <c r="E10" s="313" t="s">
        <v>699</v>
      </c>
      <c r="F10" s="1116"/>
      <c r="G10" s="1384"/>
      <c r="H10" s="1069" t="s">
        <v>402</v>
      </c>
      <c r="I10" s="1365" t="s">
        <v>698</v>
      </c>
      <c r="J10" s="301">
        <f ca="1">ROUND(IF(M10="押一",J6/12*M11,IF(M10="押二",J6/12*2*M11,IF(M10="押三",J6/12*3*M11,J11*M11))),0)</f>
        <v>0</v>
      </c>
      <c r="K10" s="1377" t="s">
        <v>2115</v>
      </c>
      <c r="L10" s="313" t="s">
        <v>699</v>
      </c>
      <c r="M10" s="1116"/>
    </row>
    <row r="11" spans="1:37" ht="18" customHeight="1">
      <c r="A11" s="308"/>
      <c r="B11" s="1367" t="s">
        <v>888</v>
      </c>
      <c r="C11" s="959"/>
      <c r="D11" s="307"/>
      <c r="E11" s="313" t="s">
        <v>700</v>
      </c>
      <c r="F11" s="314">
        <f ca="1">'数据-取费表'!B39</f>
        <v>1.4999999999999999E-2</v>
      </c>
      <c r="G11" s="1384"/>
      <c r="H11" s="1077"/>
      <c r="I11" s="1367" t="s">
        <v>889</v>
      </c>
      <c r="J11" s="959"/>
      <c r="K11" s="684"/>
      <c r="L11" s="313" t="s">
        <v>700</v>
      </c>
      <c r="M11" s="862">
        <f ca="1">'数据-取费表'!B39</f>
        <v>1.4999999999999999E-2</v>
      </c>
    </row>
    <row r="12" spans="1:37" ht="18" customHeight="1" thickBot="1">
      <c r="A12" s="1083" t="s">
        <v>437</v>
      </c>
      <c r="B12" s="1369" t="s">
        <v>701</v>
      </c>
      <c r="C12" s="1084"/>
      <c r="D12" s="1085"/>
      <c r="E12" s="1090"/>
      <c r="F12" s="1086"/>
      <c r="G12" s="1384"/>
      <c r="H12" s="1083" t="s">
        <v>437</v>
      </c>
      <c r="I12" s="1369" t="s">
        <v>701</v>
      </c>
      <c r="J12" s="1084"/>
      <c r="K12" s="1098"/>
      <c r="L12" s="1090"/>
      <c r="M12" s="1099"/>
    </row>
    <row r="13" spans="1:37" ht="18" customHeight="1" thickTop="1">
      <c r="A13" s="1079">
        <v>2</v>
      </c>
      <c r="B13" s="1080" t="s">
        <v>702</v>
      </c>
      <c r="C13" s="310">
        <f ca="1">ROUND(C29*F13,0)</f>
        <v>0</v>
      </c>
      <c r="D13" s="1081" t="s">
        <v>703</v>
      </c>
      <c r="E13" s="1081" t="s">
        <v>704</v>
      </c>
      <c r="F13" s="1082">
        <f ca="1">INDIRECT("'数据-取费表'!y"&amp;$G$1)</f>
        <v>0</v>
      </c>
      <c r="G13" s="1384"/>
      <c r="H13" s="1079">
        <v>2</v>
      </c>
      <c r="I13" s="1080" t="s">
        <v>702</v>
      </c>
      <c r="J13" s="1068">
        <f ca="1">ROUND(J14*J15,0)</f>
        <v>0</v>
      </c>
      <c r="K13" s="1087" t="s">
        <v>703</v>
      </c>
      <c r="L13" s="1392"/>
      <c r="M13" s="1393"/>
    </row>
    <row r="14" spans="1:37" ht="18" customHeight="1">
      <c r="A14" s="982" t="s">
        <v>397</v>
      </c>
      <c r="B14" s="302" t="s">
        <v>705</v>
      </c>
      <c r="C14" s="318">
        <f ca="1">ROUND(INDIRECT("'数据-取费表'!l"&amp;$G$1)*F43+'数据-取费表'!L14*INDIRECT("'数据-取费表'!S"&amp;$G$1),0)</f>
        <v>0</v>
      </c>
      <c r="D14" s="1345" t="s">
        <v>706</v>
      </c>
      <c r="E14" s="1342"/>
      <c r="F14" s="319"/>
      <c r="G14" s="1384"/>
      <c r="H14" s="982" t="s">
        <v>398</v>
      </c>
      <c r="I14" s="302" t="s">
        <v>707</v>
      </c>
      <c r="J14" s="21">
        <f ca="1">C29</f>
        <v>0</v>
      </c>
      <c r="K14" s="12"/>
      <c r="L14" s="807"/>
      <c r="M14" s="808"/>
    </row>
    <row r="15" spans="1:37" s="1397" customFormat="1" ht="18" customHeight="1" thickBot="1">
      <c r="A15" s="982" t="s">
        <v>399</v>
      </c>
      <c r="B15" s="302" t="s">
        <v>708</v>
      </c>
      <c r="C15" s="21">
        <f ca="1">ROUND(C14*F15,0)</f>
        <v>0</v>
      </c>
      <c r="D15" s="320" t="s">
        <v>709</v>
      </c>
      <c r="E15" s="320" t="s">
        <v>710</v>
      </c>
      <c r="F15" s="321">
        <f>'数据-取费表'!B33</f>
        <v>0.05</v>
      </c>
      <c r="G15" s="1396"/>
      <c r="H15" s="1089" t="s">
        <v>402</v>
      </c>
      <c r="I15" s="1090" t="s">
        <v>704</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678</v>
      </c>
      <c r="B16" s="302" t="s">
        <v>711</v>
      </c>
      <c r="C16" s="21">
        <f ca="1">ROUND(INDIRECT("'数据-取费表'!l"&amp;$G$1)*F43*F16,0)</f>
        <v>0</v>
      </c>
      <c r="D16" s="302" t="s">
        <v>709</v>
      </c>
      <c r="E16" s="302" t="s">
        <v>710</v>
      </c>
      <c r="F16" s="322">
        <f ca="1">IF(INDIRECT("'数据-取费表'!c"&amp;$G$1)="住宅",'数据-取费表'!B34,0)</f>
        <v>0</v>
      </c>
      <c r="G16" s="1384"/>
      <c r="H16" s="1079" t="s">
        <v>393</v>
      </c>
      <c r="I16" s="1080" t="s">
        <v>712</v>
      </c>
      <c r="J16" s="310">
        <f ca="1">ROUND(J17+J22+J23+J24,0)</f>
        <v>0</v>
      </c>
      <c r="K16" s="1087" t="s">
        <v>713</v>
      </c>
      <c r="L16" s="1088"/>
      <c r="M16" s="1072"/>
    </row>
    <row r="17" spans="1:37" s="1397" customFormat="1" ht="18" customHeight="1">
      <c r="A17" s="982" t="s">
        <v>679</v>
      </c>
      <c r="B17" s="302" t="s">
        <v>714</v>
      </c>
      <c r="C17" s="21">
        <f ca="1">ROUND(F17*(F43+INDIRECT("'数据-取费表'!S"&amp;$G$1)),0)</f>
        <v>0</v>
      </c>
      <c r="D17" s="302" t="s">
        <v>715</v>
      </c>
      <c r="E17" s="302" t="s">
        <v>716</v>
      </c>
      <c r="F17" s="23">
        <f>'数据-取费表'!B35</f>
        <v>200</v>
      </c>
      <c r="G17" s="1396"/>
      <c r="H17" s="982" t="s">
        <v>398</v>
      </c>
      <c r="I17" s="302" t="s">
        <v>717</v>
      </c>
      <c r="J17" s="2316">
        <f ca="1">ROUND(IF(AND(项目基本情况!B11="自然人",项目基本情况!B10="北京市"),J6*M17/(1+'数据-取费表'!C42),J18+J19+J20),0)</f>
        <v>0</v>
      </c>
      <c r="K17" s="1345" t="s">
        <v>718</v>
      </c>
      <c r="L17" s="1344" t="s">
        <v>719</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680</v>
      </c>
      <c r="B18" s="302" t="s">
        <v>720</v>
      </c>
      <c r="C18" s="21">
        <f ca="1">ROUND(C14*F18,0)</f>
        <v>0</v>
      </c>
      <c r="D18" s="302" t="s">
        <v>709</v>
      </c>
      <c r="E18" s="302" t="s">
        <v>710</v>
      </c>
      <c r="F18" s="322">
        <f>'数据-取费表'!B36</f>
        <v>0.02</v>
      </c>
      <c r="G18" s="1396"/>
      <c r="H18" s="982" t="s">
        <v>397</v>
      </c>
      <c r="I18" s="302" t="s">
        <v>721</v>
      </c>
      <c r="J18" s="21">
        <f ca="1">ROUND(J6*M18/(1+'数据-取费表'!C42),0)</f>
        <v>0</v>
      </c>
      <c r="K18" s="1344" t="s">
        <v>722</v>
      </c>
      <c r="L18" s="302" t="s">
        <v>710</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723</v>
      </c>
      <c r="C19" s="21">
        <f ca="1">SUM(C14:C18)</f>
        <v>0</v>
      </c>
      <c r="D19" s="131" t="s">
        <v>724</v>
      </c>
      <c r="E19" s="1360"/>
      <c r="F19" s="23"/>
      <c r="G19" s="1384"/>
      <c r="H19" s="982" t="s">
        <v>399</v>
      </c>
      <c r="I19" s="302" t="s">
        <v>725</v>
      </c>
      <c r="J19" s="21">
        <f ca="1">IF(K19="按租金收入计税",ROUND(J6*M19/(1+'数据-取费表'!C42),0),ROUND(C29*M19*0.7,0))</f>
        <v>0</v>
      </c>
      <c r="K19" s="1370" t="s">
        <v>3337</v>
      </c>
      <c r="L19" s="302" t="s">
        <v>710</v>
      </c>
      <c r="M19" s="322">
        <f>IF(K19="按租金收入计税",'数据-取费表'!B51,'数据-取费表'!B50)</f>
        <v>0.12</v>
      </c>
    </row>
    <row r="20" spans="1:37" s="1397" customFormat="1" ht="18" customHeight="1">
      <c r="A20" s="982" t="s">
        <v>402</v>
      </c>
      <c r="B20" s="302" t="s">
        <v>726</v>
      </c>
      <c r="C20" s="21">
        <f ca="1">ROUND(C19*F20,0)</f>
        <v>0</v>
      </c>
      <c r="D20" s="323" t="s">
        <v>727</v>
      </c>
      <c r="E20" s="302" t="s">
        <v>710</v>
      </c>
      <c r="F20" s="322">
        <f>'数据-取费表'!B37</f>
        <v>0.02</v>
      </c>
      <c r="G20" s="1396"/>
      <c r="H20" s="982" t="s">
        <v>678</v>
      </c>
      <c r="I20" s="155" t="s">
        <v>728</v>
      </c>
      <c r="J20" s="22">
        <f ca="1">ROUND(M20*M21,0)</f>
        <v>0</v>
      </c>
      <c r="K20" s="324" t="s">
        <v>729</v>
      </c>
      <c r="L20" s="302" t="s">
        <v>730</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731</v>
      </c>
      <c r="C21" s="21" t="s">
        <v>0</v>
      </c>
      <c r="D21" s="323" t="s">
        <v>732</v>
      </c>
      <c r="E21" s="302" t="s">
        <v>733</v>
      </c>
      <c r="F21" s="322">
        <f>'数据-取费表'!B38</f>
        <v>0.02</v>
      </c>
      <c r="G21" s="1396"/>
      <c r="H21" s="326"/>
      <c r="I21" s="311"/>
      <c r="J21" s="26"/>
      <c r="K21" s="327"/>
      <c r="L21" s="302" t="s">
        <v>734</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681</v>
      </c>
      <c r="B22" s="302" t="s">
        <v>735</v>
      </c>
      <c r="C22" s="21"/>
      <c r="D22" s="131" t="str">
        <f>IF(F23&lt;=1,"单利计息。","复利计息。")&amp;"建造成本、管理费用、销售费用产生的利息。"</f>
        <v>复利计息。建造成本、管理费用、销售费用产生的利息。</v>
      </c>
      <c r="E22" s="1360"/>
      <c r="F22" s="23"/>
      <c r="G22" s="1384"/>
      <c r="H22" s="982" t="s">
        <v>402</v>
      </c>
      <c r="I22" s="302" t="s">
        <v>736</v>
      </c>
      <c r="J22" s="21">
        <f ca="1">ROUND(J14*M22,0)</f>
        <v>0</v>
      </c>
      <c r="K22" s="1344" t="s">
        <v>737</v>
      </c>
      <c r="L22" s="302" t="s">
        <v>710</v>
      </c>
      <c r="M22" s="328">
        <f ca="1">INDIRECT("'数据-取费表'!Ak"&amp;$G$1)</f>
        <v>0</v>
      </c>
    </row>
    <row r="23" spans="1:37" s="1397" customFormat="1" ht="18" customHeight="1">
      <c r="A23" s="982" t="s">
        <v>397</v>
      </c>
      <c r="B23" s="302" t="s">
        <v>738</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739</v>
      </c>
      <c r="F23" s="325">
        <f>'数据-取费表'!B20</f>
        <v>2</v>
      </c>
      <c r="G23" s="1396"/>
      <c r="H23" s="982" t="s">
        <v>437</v>
      </c>
      <c r="I23" s="302" t="s">
        <v>740</v>
      </c>
      <c r="J23" s="21">
        <f ca="1">ROUND(J13*M23,0)</f>
        <v>0</v>
      </c>
      <c r="K23" s="1344" t="s">
        <v>741</v>
      </c>
      <c r="L23" s="302" t="s">
        <v>742</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743</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3.4500000000000003E-2</v>
      </c>
      <c r="G24" s="1396"/>
      <c r="H24" s="1089" t="s">
        <v>682</v>
      </c>
      <c r="I24" s="1090" t="s">
        <v>726</v>
      </c>
      <c r="J24" s="1091">
        <f ca="1">ROUND(J5*M24,0)</f>
        <v>0</v>
      </c>
      <c r="K24" s="1092" t="s">
        <v>746</v>
      </c>
      <c r="L24" s="1090" t="s">
        <v>742</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747</v>
      </c>
      <c r="B25" s="302" t="s">
        <v>748</v>
      </c>
      <c r="C25" s="21"/>
      <c r="D25" s="131" t="s">
        <v>749</v>
      </c>
      <c r="E25" s="1360"/>
      <c r="F25" s="23"/>
      <c r="G25" s="1384"/>
      <c r="H25" s="1079" t="s">
        <v>394</v>
      </c>
      <c r="I25" s="1094" t="s">
        <v>750</v>
      </c>
      <c r="J25" s="310">
        <f ca="1">J5-J16</f>
        <v>0</v>
      </c>
      <c r="K25" s="1095" t="s">
        <v>751</v>
      </c>
      <c r="L25" s="1096"/>
      <c r="M25" s="1097"/>
    </row>
    <row r="26" spans="1:37" ht="18" customHeight="1">
      <c r="A26" s="982" t="s">
        <v>397</v>
      </c>
      <c r="B26" s="302" t="s">
        <v>752</v>
      </c>
      <c r="C26" s="21">
        <f ca="1">ROUND((C19+C20)*F26,0)</f>
        <v>0</v>
      </c>
      <c r="D26" s="323" t="s">
        <v>753</v>
      </c>
      <c r="E26" s="313" t="s">
        <v>754</v>
      </c>
      <c r="F26" s="312">
        <f ca="1">INDIRECT("'数据-取费表'!q"&amp;$G$1)</f>
        <v>0</v>
      </c>
      <c r="G26" s="1384"/>
      <c r="H26" s="299" t="s">
        <v>395</v>
      </c>
      <c r="I26" s="300" t="s">
        <v>755</v>
      </c>
      <c r="J26" s="301">
        <f ca="1">IF(J5&lt;&gt;0,ROUND(J25*(1-((1+M28)/(1+M26))^M27)/(M26-M28),0),0)</f>
        <v>0</v>
      </c>
      <c r="K26" s="324" t="s">
        <v>756</v>
      </c>
      <c r="L26" s="302" t="s">
        <v>757</v>
      </c>
      <c r="M26" s="312">
        <f ca="1">INDIRECT("'数据-取费表'!I"&amp;$G$1)</f>
        <v>0</v>
      </c>
    </row>
    <row r="27" spans="1:37" ht="18" customHeight="1">
      <c r="A27" s="982" t="s">
        <v>399</v>
      </c>
      <c r="B27" s="302" t="s">
        <v>758</v>
      </c>
      <c r="C27" s="21">
        <f ca="1">ROUND(F21*F26,4)</f>
        <v>0</v>
      </c>
      <c r="D27" s="323" t="s">
        <v>759</v>
      </c>
      <c r="E27" s="320"/>
      <c r="F27" s="321"/>
      <c r="G27" s="1384"/>
      <c r="H27" s="304"/>
      <c r="I27" s="305"/>
      <c r="J27" s="306"/>
      <c r="K27" s="332" t="s">
        <v>760</v>
      </c>
      <c r="L27" s="302" t="s">
        <v>761</v>
      </c>
      <c r="M27" s="333">
        <f ca="1">INDIRECT("'数据-取费表'!ag"&amp;$G$1)</f>
        <v>0</v>
      </c>
    </row>
    <row r="28" spans="1:37" s="1397" customFormat="1" ht="18" customHeight="1">
      <c r="A28" s="982" t="s">
        <v>400</v>
      </c>
      <c r="B28" s="302" t="s">
        <v>762</v>
      </c>
      <c r="C28" s="21">
        <f>ROUND(F28/(1+'数据-取费表'!C42),4)</f>
        <v>5.33E-2</v>
      </c>
      <c r="D28" s="323" t="s">
        <v>763</v>
      </c>
      <c r="E28" s="302" t="s">
        <v>710</v>
      </c>
      <c r="F28" s="322">
        <f>'数据-取费表'!B41</f>
        <v>5.6000000000000001E-2</v>
      </c>
      <c r="G28" s="1396"/>
      <c r="H28" s="308"/>
      <c r="I28" s="309"/>
      <c r="J28" s="310"/>
      <c r="K28" s="327"/>
      <c r="L28" s="302" t="s">
        <v>764</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765</v>
      </c>
      <c r="C29" s="1091">
        <f ca="1">ROUND((C19+C20+C23+C26)/(1-F21-C24-C27-C28),0)</f>
        <v>0</v>
      </c>
      <c r="D29" s="1092"/>
      <c r="E29" s="1090"/>
      <c r="F29" s="1093"/>
      <c r="G29" s="1396"/>
      <c r="H29" s="334" t="s">
        <v>396</v>
      </c>
      <c r="I29" s="335" t="s">
        <v>766</v>
      </c>
      <c r="J29" s="336">
        <f ca="1">ROUND(J26/(1+F40)^F41,0)</f>
        <v>0</v>
      </c>
      <c r="K29" s="337" t="s">
        <v>767</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712</v>
      </c>
      <c r="C30" s="310">
        <f ca="1">ROUND(C31+C36+C37+C38,0)</f>
        <v>0</v>
      </c>
      <c r="D30" s="1087" t="s">
        <v>713</v>
      </c>
      <c r="E30" s="1088"/>
      <c r="F30" s="1072"/>
      <c r="G30" s="1384"/>
      <c r="H30" s="2697"/>
      <c r="I30" s="1398"/>
      <c r="J30" s="1399"/>
      <c r="K30" s="2475"/>
      <c r="L30" s="2698"/>
      <c r="M30" s="2699"/>
    </row>
    <row r="31" spans="1:37" ht="18" customHeight="1">
      <c r="A31" s="982" t="s">
        <v>398</v>
      </c>
      <c r="B31" s="302" t="s">
        <v>717</v>
      </c>
      <c r="C31" s="2316">
        <f ca="1">ROUND(IF(AND(项目基本情况!B11="自然人",项目基本情况!B10="北京市"),C6*F31/(1+'数据-取费表'!C42),C32+C33+C34),0)</f>
        <v>0</v>
      </c>
      <c r="D31" s="1345" t="s">
        <v>718</v>
      </c>
      <c r="E31" s="1344" t="s">
        <v>768</v>
      </c>
      <c r="F31" s="2315" t="str">
        <f>IF(项目基本情况!B11="企业","——",IF(M47="住宅",IF(F6*F7*F8/12/(1+'数据-取费表'!F30)&gt;100000,4%,2.5%),IF(F6*F7*F8/12/(1+'数据-取费表'!F30)&gt;100000,12%,7%)))</f>
        <v>——</v>
      </c>
      <c r="G31" s="1384"/>
      <c r="H31" s="2808" t="s">
        <v>2307</v>
      </c>
      <c r="I31" s="1398"/>
      <c r="J31" s="1399"/>
      <c r="K31" s="2475"/>
      <c r="L31" s="2698"/>
      <c r="M31" s="2699"/>
    </row>
    <row r="32" spans="1:37" ht="18" customHeight="1">
      <c r="A32" s="982" t="s">
        <v>397</v>
      </c>
      <c r="B32" s="302" t="s">
        <v>721</v>
      </c>
      <c r="C32" s="21">
        <f ca="1">IF(项目基本情况!B11="自然人","——",ROUND(C6*F32/(1+'数据-取费表'!C42),0))</f>
        <v>0</v>
      </c>
      <c r="D32" s="1344" t="s">
        <v>722</v>
      </c>
      <c r="E32" s="302" t="s">
        <v>710</v>
      </c>
      <c r="F32" s="331">
        <f>'数据-取费表'!B41</f>
        <v>5.6000000000000001E-2</v>
      </c>
      <c r="G32" s="1384"/>
      <c r="H32" s="2697"/>
      <c r="I32" s="1398"/>
      <c r="J32" s="1399"/>
      <c r="K32" s="2475"/>
      <c r="L32" s="2698"/>
      <c r="M32" s="2699"/>
    </row>
    <row r="33" spans="1:18" ht="18" customHeight="1">
      <c r="A33" s="982" t="s">
        <v>399</v>
      </c>
      <c r="B33" s="302" t="s">
        <v>725</v>
      </c>
      <c r="C33" s="21">
        <f ca="1">IF(项目基本情况!B11="自然人","——",IF(D33="按租金收入计税",ROUND(C6*F33/(1+'数据-取费表'!C42),0),IF(D33="按房产原值计税",ROUND(C29*F33*0.7,0),INDIRECT("'数据-取费表'!Aj"&amp;$G$1))))</f>
        <v>0</v>
      </c>
      <c r="D33" s="1370" t="s">
        <v>3337</v>
      </c>
      <c r="E33" s="302" t="s">
        <v>710</v>
      </c>
      <c r="F33" s="322">
        <f>IF(D33="按票据","——",IF(D33="按租金收入计税",'数据-取费表'!B51,'数据-取费表'!B50))</f>
        <v>0.12</v>
      </c>
      <c r="G33" s="1384"/>
      <c r="H33" s="2700"/>
      <c r="I33" s="1398"/>
      <c r="J33" s="1399"/>
      <c r="K33" s="2701"/>
      <c r="L33" s="2700"/>
      <c r="M33" s="2700"/>
    </row>
    <row r="34" spans="1:18" ht="18" customHeight="1">
      <c r="A34" s="1069" t="s">
        <v>678</v>
      </c>
      <c r="B34" s="155" t="s">
        <v>728</v>
      </c>
      <c r="C34" s="22">
        <f ca="1">IF(项目基本情况!B11="自然人","——",ROUND(F34*F35,0))</f>
        <v>0</v>
      </c>
      <c r="D34" s="324" t="s">
        <v>729</v>
      </c>
      <c r="E34" s="302" t="s">
        <v>730</v>
      </c>
      <c r="F34" s="325">
        <f>'数据-取费表'!B52</f>
        <v>0</v>
      </c>
      <c r="G34" s="1384"/>
      <c r="H34" s="2697"/>
      <c r="I34" s="1398"/>
      <c r="J34" s="1399"/>
      <c r="K34" s="2702"/>
      <c r="L34" s="2703"/>
      <c r="M34" s="2703"/>
    </row>
    <row r="35" spans="1:18" ht="18" customHeight="1">
      <c r="A35" s="1103"/>
      <c r="B35" s="1101"/>
      <c r="C35" s="26"/>
      <c r="D35" s="327"/>
      <c r="E35" s="302" t="s">
        <v>734</v>
      </c>
      <c r="F35" s="303">
        <f ca="1">INDIRECT("'数据-取费表'!r"&amp;$G$1)</f>
        <v>0</v>
      </c>
      <c r="G35" s="1384"/>
      <c r="H35" s="2697"/>
      <c r="I35" s="1398"/>
      <c r="J35" s="1399"/>
      <c r="K35" s="2701"/>
      <c r="L35" s="2700"/>
      <c r="M35" s="2700"/>
    </row>
    <row r="36" spans="1:18" ht="18" customHeight="1">
      <c r="A36" s="1102" t="s">
        <v>402</v>
      </c>
      <c r="B36" s="302" t="s">
        <v>736</v>
      </c>
      <c r="C36" s="21">
        <f ca="1">ROUND(C29*F36,0)</f>
        <v>0</v>
      </c>
      <c r="D36" s="1344" t="s">
        <v>769</v>
      </c>
      <c r="E36" s="302" t="s">
        <v>710</v>
      </c>
      <c r="F36" s="328">
        <f ca="1">INDIRECT("'数据-取费表'!Ak"&amp;$G$1)</f>
        <v>0</v>
      </c>
      <c r="G36" s="1384"/>
      <c r="H36" s="2700"/>
      <c r="I36" s="1398"/>
      <c r="J36" s="1399"/>
      <c r="K36" s="2544"/>
      <c r="L36" s="2700"/>
      <c r="M36" s="2700"/>
    </row>
    <row r="37" spans="1:18" ht="18" customHeight="1">
      <c r="A37" s="982" t="s">
        <v>437</v>
      </c>
      <c r="B37" s="302" t="s">
        <v>740</v>
      </c>
      <c r="C37" s="21">
        <f ca="1">ROUND(C13*F37,0)</f>
        <v>0</v>
      </c>
      <c r="D37" s="1344" t="s">
        <v>741</v>
      </c>
      <c r="E37" s="302" t="s">
        <v>742</v>
      </c>
      <c r="F37" s="330">
        <f ca="1">INDIRECT("'数据-取费表'!Al"&amp;$G$1)</f>
        <v>0</v>
      </c>
      <c r="G37" s="1384"/>
      <c r="H37" s="2700"/>
      <c r="I37" s="1398"/>
      <c r="J37" s="1399"/>
      <c r="K37" s="2544"/>
      <c r="L37" s="2700"/>
      <c r="M37" s="2700"/>
    </row>
    <row r="38" spans="1:18" ht="18" customHeight="1" thickBot="1">
      <c r="A38" s="1089" t="s">
        <v>682</v>
      </c>
      <c r="B38" s="1090" t="s">
        <v>726</v>
      </c>
      <c r="C38" s="1091">
        <f ca="1">ROUND(C5*F38,0)</f>
        <v>0</v>
      </c>
      <c r="D38" s="1092" t="s">
        <v>746</v>
      </c>
      <c r="E38" s="1090" t="s">
        <v>742</v>
      </c>
      <c r="F38" s="1086">
        <f ca="1">INDIRECT("'数据-取费表'!Am"&amp;$G$1)</f>
        <v>0</v>
      </c>
      <c r="G38" s="1384"/>
      <c r="H38" s="2700"/>
      <c r="I38" s="1398"/>
      <c r="J38" s="1399"/>
      <c r="K38" s="2704"/>
      <c r="L38" s="2700"/>
      <c r="M38" s="2700"/>
    </row>
    <row r="39" spans="1:18" ht="24.6" customHeight="1" thickTop="1">
      <c r="A39" s="1079" t="s">
        <v>394</v>
      </c>
      <c r="B39" s="1094" t="s">
        <v>770</v>
      </c>
      <c r="C39" s="310">
        <f ca="1">C5-C30</f>
        <v>0</v>
      </c>
      <c r="D39" s="1095" t="s">
        <v>771</v>
      </c>
      <c r="E39" s="1096"/>
      <c r="F39" s="1097"/>
      <c r="G39" s="1384"/>
      <c r="H39" s="2700"/>
      <c r="I39" s="1398"/>
      <c r="J39" s="1399"/>
      <c r="K39" s="2704"/>
      <c r="L39" s="2700"/>
      <c r="M39" s="2700"/>
    </row>
    <row r="40" spans="1:18" ht="18" customHeight="1">
      <c r="A40" s="299" t="s">
        <v>395</v>
      </c>
      <c r="B40" s="300" t="s">
        <v>772</v>
      </c>
      <c r="C40" s="301" t="e">
        <f ca="1">ROUND(C39*(1-((1+F42)/(1+F40))^F41)/(F40-F42),0)</f>
        <v>#DIV/0!</v>
      </c>
      <c r="D40" s="324" t="s">
        <v>756</v>
      </c>
      <c r="E40" s="302" t="s">
        <v>757</v>
      </c>
      <c r="F40" s="312">
        <f ca="1">INDIRECT("'数据-取费表'!I"&amp;$G$1)</f>
        <v>0</v>
      </c>
      <c r="G40" s="1384"/>
      <c r="H40" s="1461"/>
      <c r="I40" s="1398"/>
      <c r="J40" s="1399"/>
      <c r="K40" s="2704"/>
      <c r="L40" s="1461"/>
      <c r="M40" s="1461"/>
    </row>
    <row r="41" spans="1:18" ht="18" customHeight="1">
      <c r="A41" s="304"/>
      <c r="B41" s="305"/>
      <c r="C41" s="306"/>
      <c r="D41" s="332" t="s">
        <v>773</v>
      </c>
      <c r="E41" s="302" t="s">
        <v>761</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764</v>
      </c>
      <c r="F42" s="312">
        <f ca="1">INDIRECT("'数据-取费表'!v"&amp;$G$1)</f>
        <v>0</v>
      </c>
      <c r="G42" s="1384"/>
      <c r="H42" s="1191"/>
      <c r="I42" s="1398"/>
      <c r="J42" s="1399"/>
      <c r="K42" s="2544"/>
      <c r="L42" s="1191"/>
      <c r="M42" s="1191"/>
    </row>
    <row r="43" spans="1:18" ht="18" customHeight="1" thickBot="1">
      <c r="A43" s="334" t="s">
        <v>396</v>
      </c>
      <c r="B43" s="335" t="s">
        <v>774</v>
      </c>
      <c r="C43" s="336" t="e">
        <f ca="1">ROUND(C40/F43,0)</f>
        <v>#DIV/0!</v>
      </c>
      <c r="D43" s="337" t="s">
        <v>775</v>
      </c>
      <c r="E43" s="338" t="s">
        <v>776</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3353</v>
      </c>
      <c r="B45" s="1400"/>
      <c r="C45" s="1472" t="e">
        <f ca="1">ROUND((C68-C40)/10000,4)</f>
        <v>#DIV/0!</v>
      </c>
      <c r="D45" s="3432" t="s">
        <v>3354</v>
      </c>
      <c r="E45" s="1400"/>
      <c r="F45" s="1400"/>
      <c r="O45" s="1403" t="s">
        <v>806</v>
      </c>
      <c r="P45" s="1461"/>
      <c r="Q45" s="1461"/>
      <c r="R45" s="1461"/>
    </row>
    <row r="46" spans="1:18" s="1384" customFormat="1" ht="13.5" thickBot="1">
      <c r="A46" s="1404" t="s">
        <v>807</v>
      </c>
      <c r="C46" s="1405" t="e">
        <f ca="1">ROUND(C45,0)</f>
        <v>#DIV/0!</v>
      </c>
      <c r="D46" s="1406" t="str">
        <f>C2</f>
        <v>万元</v>
      </c>
      <c r="I46" s="1407" t="s">
        <v>808</v>
      </c>
      <c r="J46" s="1408"/>
      <c r="K46" s="1409"/>
      <c r="L46" s="1410" t="e">
        <f ca="1">IF(M47="住宅",0,IF(L48&gt;J51,L60,J60))</f>
        <v>#DIV/0!</v>
      </c>
      <c r="O46" s="1411" t="s">
        <v>809</v>
      </c>
      <c r="P46" s="1412" t="s">
        <v>810</v>
      </c>
      <c r="Q46" s="1413" t="s">
        <v>811</v>
      </c>
      <c r="R46" s="1413" t="s">
        <v>812</v>
      </c>
    </row>
    <row r="47" spans="1:18" s="1384" customFormat="1" ht="13.5" thickBot="1">
      <c r="A47" s="946" t="s">
        <v>685</v>
      </c>
      <c r="B47" s="978" t="s">
        <v>686</v>
      </c>
      <c r="C47" s="978" t="s">
        <v>687</v>
      </c>
      <c r="D47" s="978" t="s">
        <v>688</v>
      </c>
      <c r="E47" s="1058" t="s">
        <v>689</v>
      </c>
      <c r="F47" s="1059"/>
      <c r="G47" s="722"/>
      <c r="I47" s="1414" t="s">
        <v>813</v>
      </c>
      <c r="J47" s="1415"/>
      <c r="K47" s="1416" t="s">
        <v>814</v>
      </c>
      <c r="L47" s="1417">
        <f ca="1">INDIRECT("'数据-取费表'!d"&amp;$G$1)</f>
        <v>0</v>
      </c>
      <c r="M47" s="1380" t="str">
        <f>IF(ISNUMBER(FIND("住宅",C1)),"住宅","非住宅")</f>
        <v>非住宅</v>
      </c>
      <c r="O47" s="1418" t="s">
        <v>403</v>
      </c>
      <c r="P47" s="1419" t="s">
        <v>815</v>
      </c>
      <c r="Q47" s="1420" t="e">
        <f ca="1">C40+J29</f>
        <v>#DIV/0!</v>
      </c>
      <c r="R47" s="1420" t="s">
        <v>816</v>
      </c>
    </row>
    <row r="48" spans="1:18" s="1384" customFormat="1" ht="28.5" thickBot="1">
      <c r="A48" s="1110" t="s">
        <v>438</v>
      </c>
      <c r="B48" s="300" t="s">
        <v>690</v>
      </c>
      <c r="C48" s="1359">
        <f ca="1">C49+C53+C55</f>
        <v>0</v>
      </c>
      <c r="D48" s="1112"/>
      <c r="E48" s="1113"/>
      <c r="F48" s="962"/>
      <c r="G48" s="722"/>
      <c r="H48" s="723"/>
      <c r="I48" s="1421" t="s">
        <v>817</v>
      </c>
      <c r="J48" s="1422"/>
      <c r="K48" s="1423" t="s">
        <v>818</v>
      </c>
      <c r="L48" s="1424">
        <f ca="1">INDIRECT("'数据-取费表'!f"&amp;$G$1)</f>
        <v>0</v>
      </c>
      <c r="O48" s="1418" t="s">
        <v>404</v>
      </c>
      <c r="P48" s="1419" t="s">
        <v>819</v>
      </c>
      <c r="Q48" s="1420" t="e">
        <f ca="1">J60</f>
        <v>#DIV/0!</v>
      </c>
      <c r="R48" s="1420" t="s">
        <v>820</v>
      </c>
    </row>
    <row r="49" spans="1:18" s="1384" customFormat="1" ht="13.5" thickBot="1">
      <c r="A49" s="975" t="s">
        <v>439</v>
      </c>
      <c r="B49" s="1371" t="s">
        <v>777</v>
      </c>
      <c r="C49" s="1114">
        <f ca="1">ROUND(F49*F51*F50*(1-F52),0)</f>
        <v>0</v>
      </c>
      <c r="D49" s="1055" t="s">
        <v>693</v>
      </c>
      <c r="E49" s="1372" t="s">
        <v>778</v>
      </c>
      <c r="F49" s="1060"/>
      <c r="G49" s="1425"/>
      <c r="H49" s="723"/>
      <c r="I49" s="1421" t="s">
        <v>821</v>
      </c>
      <c r="J49" s="1426"/>
      <c r="K49" s="1423" t="s">
        <v>822</v>
      </c>
      <c r="L49" s="1427"/>
      <c r="O49" s="1428" t="s">
        <v>405</v>
      </c>
      <c r="P49" s="1419" t="s">
        <v>823</v>
      </c>
      <c r="Q49" s="1420">
        <f ca="1">C29</f>
        <v>0</v>
      </c>
      <c r="R49" s="1420" t="s">
        <v>816</v>
      </c>
    </row>
    <row r="50" spans="1:18" s="1384" customFormat="1" ht="13.5" thickBot="1">
      <c r="A50" s="976"/>
      <c r="B50" s="979"/>
      <c r="C50" s="980"/>
      <c r="D50" s="953"/>
      <c r="E50" s="1056" t="s">
        <v>695</v>
      </c>
      <c r="F50" s="1057">
        <f ca="1">F7</f>
        <v>0</v>
      </c>
      <c r="H50" s="723"/>
      <c r="I50" s="1421" t="s">
        <v>824</v>
      </c>
      <c r="J50" s="1429">
        <f>SUMPRODUCT((I63:I65=J47)*(J62:L62=J48)*(J63:L65))</f>
        <v>0</v>
      </c>
      <c r="K50" s="1423" t="s">
        <v>825</v>
      </c>
      <c r="L50" s="1427"/>
      <c r="M50" s="1430"/>
      <c r="O50" s="1428" t="s">
        <v>406</v>
      </c>
      <c r="P50" s="1419" t="s">
        <v>826</v>
      </c>
      <c r="Q50" s="1431" t="e">
        <f ca="1">J58</f>
        <v>#DIV/0!</v>
      </c>
      <c r="R50" s="1420"/>
    </row>
    <row r="51" spans="1:18" s="1384" customFormat="1" ht="13.5" thickBot="1">
      <c r="A51" s="977"/>
      <c r="B51" s="979"/>
      <c r="C51" s="980"/>
      <c r="D51" s="953"/>
      <c r="E51" s="981" t="s">
        <v>696</v>
      </c>
      <c r="F51" s="303">
        <f ca="1">F8</f>
        <v>0</v>
      </c>
      <c r="I51" s="1432" t="s">
        <v>827</v>
      </c>
      <c r="J51" s="1433">
        <f>IF(J49="",J50,J49+J50-YEAR('数据-取费表'!B2))</f>
        <v>0</v>
      </c>
      <c r="K51" s="1434" t="s">
        <v>828</v>
      </c>
      <c r="L51" s="1435">
        <f ca="1">ROUND(-PV(INDIRECT("'数据-取费表'!h"&amp;$G$1),J51,(C39-C13*C76),0),0)</f>
        <v>0</v>
      </c>
      <c r="M51" s="1436"/>
      <c r="O51" s="1428" t="s">
        <v>407</v>
      </c>
      <c r="P51" s="1419" t="s">
        <v>829</v>
      </c>
      <c r="Q51" s="1431">
        <f>J52</f>
        <v>0</v>
      </c>
      <c r="R51" s="1420"/>
    </row>
    <row r="52" spans="1:18" s="1384" customFormat="1" ht="13.5" thickBot="1">
      <c r="A52" s="977"/>
      <c r="B52" s="979"/>
      <c r="C52" s="980"/>
      <c r="D52" s="953"/>
      <c r="E52" s="981" t="s">
        <v>697</v>
      </c>
      <c r="F52" s="1054"/>
      <c r="I52" s="1437" t="s">
        <v>830</v>
      </c>
      <c r="J52" s="1438"/>
      <c r="K52" s="1437" t="s">
        <v>831</v>
      </c>
      <c r="L52" s="1438"/>
      <c r="O52" s="1428" t="s">
        <v>408</v>
      </c>
      <c r="P52" s="1419" t="s">
        <v>832</v>
      </c>
      <c r="Q52" s="1420">
        <f ca="1">J53</f>
        <v>0</v>
      </c>
      <c r="R52" s="1420" t="s">
        <v>833</v>
      </c>
    </row>
    <row r="53" spans="1:18" s="1384" customFormat="1" ht="30.75" customHeight="1" thickBot="1">
      <c r="A53" s="1111" t="s">
        <v>440</v>
      </c>
      <c r="B53" s="323" t="s">
        <v>698</v>
      </c>
      <c r="C53" s="316">
        <f ca="1">ROUND(IF(F53="押一",C49/12*F11,IF(F53="押二",C49/12*2*F11,IF(F53="押三",C49/12*3*F11,C54*F11))),0)</f>
        <v>0</v>
      </c>
      <c r="D53" s="1366" t="s">
        <v>2116</v>
      </c>
      <c r="E53" s="313" t="s">
        <v>699</v>
      </c>
      <c r="F53" s="1116"/>
      <c r="I53" s="1439" t="s">
        <v>834</v>
      </c>
      <c r="J53" s="2168">
        <f ca="1">IF(M47="住宅",IF(D1="——",MAX(J51,L48),MAX(J51,L48-'数据-取费表'!B24)),IF(D1="——",MIN(J51,L48),MIN(J51,L48-'数据-取费表'!B24)))</f>
        <v>0</v>
      </c>
      <c r="K53" s="3872" t="s">
        <v>835</v>
      </c>
      <c r="L53" s="3873"/>
      <c r="O53" s="1418" t="s">
        <v>409</v>
      </c>
      <c r="P53" s="1419" t="s">
        <v>836</v>
      </c>
      <c r="Q53" s="1420" t="e">
        <f ca="1">Q47+Q48</f>
        <v>#DIV/0!</v>
      </c>
      <c r="R53" s="1420" t="s">
        <v>410</v>
      </c>
    </row>
    <row r="54" spans="1:18" s="1384" customFormat="1" ht="13.5" thickBot="1">
      <c r="A54" s="975"/>
      <c r="B54" s="1473" t="s">
        <v>889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837</v>
      </c>
      <c r="P54" s="1381"/>
      <c r="Q54" s="1381"/>
      <c r="R54" s="1381"/>
    </row>
    <row r="55" spans="1:18" s="1384" customFormat="1" ht="13.5" thickBot="1">
      <c r="A55" s="1083" t="s">
        <v>437</v>
      </c>
      <c r="B55" s="1369" t="s">
        <v>701</v>
      </c>
      <c r="C55" s="1084"/>
      <c r="D55" s="1366"/>
      <c r="E55" s="1374"/>
      <c r="F55" s="1440"/>
      <c r="I55" s="1443" t="s">
        <v>838</v>
      </c>
      <c r="J55" s="1444" t="e">
        <f ca="1">ROUND(IF(J47="钢混",J57/J50,1-(1-2%)*(J50-J57)/J50),3)</f>
        <v>#DIV/0!</v>
      </c>
      <c r="K55" s="1445" t="s">
        <v>839</v>
      </c>
      <c r="L55" s="1446"/>
      <c r="O55" s="1411" t="s">
        <v>809</v>
      </c>
      <c r="P55" s="1412" t="s">
        <v>810</v>
      </c>
      <c r="Q55" s="1413" t="s">
        <v>811</v>
      </c>
      <c r="R55" s="1413" t="s">
        <v>812</v>
      </c>
    </row>
    <row r="56" spans="1:18" s="1384" customFormat="1" ht="36" customHeight="1" thickTop="1" thickBot="1">
      <c r="A56" s="957">
        <v>2</v>
      </c>
      <c r="B56" s="958" t="s">
        <v>702</v>
      </c>
      <c r="C56" s="232">
        <f ca="1">C13</f>
        <v>0</v>
      </c>
      <c r="D56" s="1447"/>
      <c r="E56" s="1448"/>
      <c r="F56" s="1440"/>
      <c r="I56" s="1449" t="s">
        <v>840</v>
      </c>
      <c r="J56" s="1450"/>
      <c r="K56" s="1421" t="s">
        <v>841</v>
      </c>
      <c r="L56" s="1424">
        <f ca="1">IF(L48&lt;J51,"——",L48-J51)</f>
        <v>0</v>
      </c>
      <c r="O56" s="1418" t="s">
        <v>403</v>
      </c>
      <c r="P56" s="1419" t="s">
        <v>815</v>
      </c>
      <c r="Q56" s="1420" t="e">
        <f ca="1">C40+J29</f>
        <v>#DIV/0!</v>
      </c>
      <c r="R56" s="1420" t="s">
        <v>816</v>
      </c>
    </row>
    <row r="57" spans="1:18" s="1384" customFormat="1" ht="24.75" thickBot="1">
      <c r="A57" s="1451"/>
      <c r="B57" s="950" t="s">
        <v>765</v>
      </c>
      <c r="C57" s="238">
        <f ca="1">C29</f>
        <v>0</v>
      </c>
      <c r="D57" s="1452"/>
      <c r="E57" s="1453"/>
      <c r="F57" s="1454"/>
      <c r="I57" s="1455" t="s">
        <v>842</v>
      </c>
      <c r="J57" s="1456">
        <f ca="1">IF(OR(M47="住宅",J51&lt;L48,J56="是"),"——",J51-L48)</f>
        <v>0</v>
      </c>
      <c r="K57" s="1421" t="s">
        <v>890</v>
      </c>
      <c r="L57" s="1424">
        <f ca="1">IF(L48&lt;J51,"——",IF(L55="比较法",L49,IF(L55="基准地价",L50,L51)))</f>
        <v>0</v>
      </c>
      <c r="O57" s="1418" t="s">
        <v>404</v>
      </c>
      <c r="P57" s="1419" t="s">
        <v>891</v>
      </c>
      <c r="Q57" s="1420" t="e">
        <f ca="1">L60</f>
        <v>#DIV/0!</v>
      </c>
      <c r="R57" s="1420" t="s">
        <v>892</v>
      </c>
    </row>
    <row r="58" spans="1:18" s="1384" customFormat="1" ht="24.75" thickBot="1">
      <c r="A58" s="315" t="s">
        <v>393</v>
      </c>
      <c r="B58" s="958" t="s">
        <v>712</v>
      </c>
      <c r="C58" s="316">
        <f ca="1">ROUND(C59+C64+C65+C66,0)</f>
        <v>0</v>
      </c>
      <c r="D58" s="960" t="s">
        <v>713</v>
      </c>
      <c r="E58" s="961"/>
      <c r="F58" s="962"/>
      <c r="I58" s="1455" t="s">
        <v>846</v>
      </c>
      <c r="J58" s="1457" t="e">
        <f ca="1">IF(J55&lt;0.4,0.4,J55)</f>
        <v>#DIV/0!</v>
      </c>
      <c r="K58" s="1434" t="s">
        <v>893</v>
      </c>
      <c r="L58" s="1424" t="e">
        <f ca="1">ROUND(POWER(1+L52,L47-L48)*(POWER(1+L52,L48)-1)/(POWER(1+L52,L47)-1),4)</f>
        <v>#DIV/0!</v>
      </c>
      <c r="O58" s="1428" t="s">
        <v>405</v>
      </c>
      <c r="P58" s="1419" t="s">
        <v>848</v>
      </c>
      <c r="Q58" s="1420">
        <f>IF(L55="比较法",L49,IF(L55="基准地价",L50,0))</f>
        <v>0</v>
      </c>
      <c r="R58" s="1420" t="s">
        <v>816</v>
      </c>
    </row>
    <row r="59" spans="1:18" s="1384" customFormat="1" ht="24.75" thickBot="1">
      <c r="A59" s="982" t="s">
        <v>398</v>
      </c>
      <c r="B59" s="950" t="s">
        <v>717</v>
      </c>
      <c r="C59" s="2316">
        <f ca="1">ROUND(IF(AND(项目基本情况!B11="自然人",项目基本情况!B10="北京市"),C49*F59/(1+'数据-取费表'!C42),C60+C61+C62),0)</f>
        <v>0</v>
      </c>
      <c r="D59" s="963" t="s">
        <v>718</v>
      </c>
      <c r="E59" s="964" t="s">
        <v>719</v>
      </c>
      <c r="F59" s="2315" t="str">
        <f>IF(项目基本情况!B11="企业","——",IF('数据-取费表'!B10="住宅",IF(F49*F50*F51/12/(1+'数据-取费表'!F30)&gt;100000,4%,2.5%),IF(F49*F50*F51/12/(1+'数据-取费表'!F30)&gt;100000,12%,7%)))</f>
        <v>——</v>
      </c>
      <c r="I59" s="1455" t="s">
        <v>849</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850</v>
      </c>
      <c r="Q59" s="1431">
        <f>L52</f>
        <v>0</v>
      </c>
      <c r="R59" s="1420"/>
    </row>
    <row r="60" spans="1:18" s="1384" customFormat="1" ht="16.5" thickBot="1">
      <c r="A60" s="982" t="s">
        <v>397</v>
      </c>
      <c r="B60" s="950" t="s">
        <v>721</v>
      </c>
      <c r="C60" s="21">
        <f ca="1">IF(项目基本情况!B11="自然人","——",ROUND(C48*F60/(1+'数据-取费表'!C42),0))</f>
        <v>0</v>
      </c>
      <c r="D60" s="964" t="s">
        <v>722</v>
      </c>
      <c r="E60" s="950" t="s">
        <v>710</v>
      </c>
      <c r="F60" s="331">
        <f t="shared" ref="F60:F66" si="0">F32</f>
        <v>5.6000000000000001E-2</v>
      </c>
      <c r="I60" s="1458" t="s">
        <v>851</v>
      </c>
      <c r="J60" s="1459" t="e">
        <f ca="1">IF(OR(M47="住宅",J51&lt;L48,J56="是"),"0",ROUND(J59/(1+J52)^J53,0))</f>
        <v>#DIV/0!</v>
      </c>
      <c r="K60" s="1460" t="s">
        <v>852</v>
      </c>
      <c r="L60" s="1459" t="e">
        <f ca="1">IF(OR(M47="住宅",L48&lt;J51),0,ROUND(L57*(L58/L59-1),0))</f>
        <v>#DIV/0!</v>
      </c>
      <c r="O60" s="1428" t="s">
        <v>407</v>
      </c>
      <c r="P60" s="1419" t="s">
        <v>853</v>
      </c>
      <c r="Q60" s="1420" t="e">
        <f ca="1">L58</f>
        <v>#DIV/0!</v>
      </c>
      <c r="R60" s="1420" t="s">
        <v>854</v>
      </c>
    </row>
    <row r="61" spans="1:18" s="1384" customFormat="1" ht="13.5" thickBot="1">
      <c r="A61" s="982" t="s">
        <v>779</v>
      </c>
      <c r="B61" s="950" t="s">
        <v>780</v>
      </c>
      <c r="C61" s="21">
        <f ca="1">IF(项目基本情况!B11="自然人","——",IF(D61="按租金收入计税",ROUND(C49*F61/(1+'数据-取费表'!C42),0),IF(D61="按房产原值计税",ROUND(C57*F61*0.7,0),INDIRECT("'数据-取费表'!Aj"&amp;$G$1))))</f>
        <v>0</v>
      </c>
      <c r="D61" s="1370" t="s">
        <v>3337</v>
      </c>
      <c r="E61" s="950" t="s">
        <v>781</v>
      </c>
      <c r="F61" s="322">
        <f t="shared" si="0"/>
        <v>0.12</v>
      </c>
      <c r="I61" s="1461"/>
      <c r="J61" s="1461"/>
      <c r="K61" s="1461"/>
      <c r="L61" s="1461"/>
      <c r="O61" s="1428" t="s">
        <v>408</v>
      </c>
      <c r="P61" s="1419" t="str">
        <f>K59</f>
        <v>建筑物剩余耐用年限下的土地年期修正系数Kn</v>
      </c>
      <c r="Q61" s="1420" t="e">
        <f ca="1">L59</f>
        <v>#DIV/0!</v>
      </c>
      <c r="R61" s="1420" t="s">
        <v>855</v>
      </c>
    </row>
    <row r="62" spans="1:18" s="1384" customFormat="1" ht="13.5" thickBot="1">
      <c r="A62" s="982" t="s">
        <v>782</v>
      </c>
      <c r="B62" s="949" t="s">
        <v>783</v>
      </c>
      <c r="C62" s="22">
        <f ca="1">IF(项目基本情况!B11="自然人","——",ROUND(F62*F63,0))</f>
        <v>0</v>
      </c>
      <c r="D62" s="965" t="s">
        <v>784</v>
      </c>
      <c r="E62" s="950" t="s">
        <v>785</v>
      </c>
      <c r="F62" s="325">
        <f t="shared" si="0"/>
        <v>0</v>
      </c>
      <c r="I62" s="1462" t="s">
        <v>856</v>
      </c>
      <c r="J62" s="1463" t="s">
        <v>857</v>
      </c>
      <c r="K62" s="1463" t="s">
        <v>858</v>
      </c>
      <c r="L62" s="1463" t="s">
        <v>859</v>
      </c>
      <c r="M62" s="1464" t="s">
        <v>860</v>
      </c>
      <c r="O62" s="1418" t="s">
        <v>409</v>
      </c>
      <c r="P62" s="1419" t="s">
        <v>861</v>
      </c>
      <c r="Q62" s="1420" t="e">
        <f ca="1">Q56+Q57</f>
        <v>#DIV/0!</v>
      </c>
      <c r="R62" s="1420" t="s">
        <v>410</v>
      </c>
    </row>
    <row r="63" spans="1:18" s="1384" customFormat="1" ht="13.5" thickBot="1">
      <c r="A63" s="326"/>
      <c r="B63" s="956"/>
      <c r="C63" s="26"/>
      <c r="D63" s="966"/>
      <c r="E63" s="950" t="s">
        <v>786</v>
      </c>
      <c r="F63" s="303">
        <f t="shared" ca="1" si="0"/>
        <v>0</v>
      </c>
      <c r="I63" s="1462" t="s">
        <v>862</v>
      </c>
      <c r="J63" s="1463">
        <v>70</v>
      </c>
      <c r="K63" s="1463">
        <v>50</v>
      </c>
      <c r="L63" s="1463">
        <v>80</v>
      </c>
      <c r="M63" s="1465">
        <v>0.02</v>
      </c>
      <c r="O63" s="1403" t="s">
        <v>863</v>
      </c>
      <c r="P63" s="1381"/>
      <c r="Q63" s="1381"/>
      <c r="R63" s="1381"/>
    </row>
    <row r="64" spans="1:18" s="1384" customFormat="1" ht="13.5" thickBot="1">
      <c r="A64" s="982" t="s">
        <v>787</v>
      </c>
      <c r="B64" s="950" t="s">
        <v>788</v>
      </c>
      <c r="C64" s="21">
        <f ca="1">ROUND(C57*F64,0)</f>
        <v>0</v>
      </c>
      <c r="D64" s="964" t="s">
        <v>789</v>
      </c>
      <c r="E64" s="950" t="s">
        <v>781</v>
      </c>
      <c r="F64" s="328">
        <f t="shared" ca="1" si="0"/>
        <v>0</v>
      </c>
      <c r="I64" s="1462" t="s">
        <v>864</v>
      </c>
      <c r="J64" s="1463">
        <v>50</v>
      </c>
      <c r="K64" s="1463">
        <v>35</v>
      </c>
      <c r="L64" s="1463">
        <v>60</v>
      </c>
      <c r="M64" s="1464">
        <v>0</v>
      </c>
      <c r="O64" s="1411" t="s">
        <v>809</v>
      </c>
      <c r="P64" s="1412" t="s">
        <v>810</v>
      </c>
      <c r="Q64" s="1413" t="s">
        <v>811</v>
      </c>
      <c r="R64" s="1413" t="s">
        <v>812</v>
      </c>
    </row>
    <row r="65" spans="1:18" s="1384" customFormat="1" ht="13.5" thickBot="1">
      <c r="A65" s="982" t="s">
        <v>790</v>
      </c>
      <c r="B65" s="950" t="s">
        <v>740</v>
      </c>
      <c r="C65" s="21">
        <f ca="1">ROUND(C56*F65,0)</f>
        <v>0</v>
      </c>
      <c r="D65" s="964" t="s">
        <v>741</v>
      </c>
      <c r="E65" s="950" t="s">
        <v>742</v>
      </c>
      <c r="F65" s="330">
        <f t="shared" ca="1" si="0"/>
        <v>0</v>
      </c>
      <c r="I65" s="1462" t="s">
        <v>865</v>
      </c>
      <c r="J65" s="1463">
        <v>40</v>
      </c>
      <c r="K65" s="1463">
        <v>30</v>
      </c>
      <c r="L65" s="1463">
        <v>50</v>
      </c>
      <c r="M65" s="1465">
        <v>0.02</v>
      </c>
      <c r="O65" s="1418" t="s">
        <v>403</v>
      </c>
      <c r="P65" s="1419" t="s">
        <v>866</v>
      </c>
      <c r="Q65" s="1420" t="e">
        <f ca="1">C40+J29</f>
        <v>#DIV/0!</v>
      </c>
      <c r="R65" s="1420" t="s">
        <v>816</v>
      </c>
    </row>
    <row r="66" spans="1:18" s="1384" customFormat="1" ht="16.5" thickBot="1">
      <c r="A66" s="982" t="s">
        <v>791</v>
      </c>
      <c r="B66" s="950" t="s">
        <v>726</v>
      </c>
      <c r="C66" s="21">
        <f ca="1">ROUND(C48*F66,0)</f>
        <v>0</v>
      </c>
      <c r="D66" s="964" t="s">
        <v>792</v>
      </c>
      <c r="E66" s="950" t="s">
        <v>710</v>
      </c>
      <c r="F66" s="312">
        <f t="shared" ca="1" si="0"/>
        <v>0</v>
      </c>
      <c r="O66" s="1418" t="s">
        <v>404</v>
      </c>
      <c r="P66" s="1419" t="s">
        <v>844</v>
      </c>
      <c r="Q66" s="1420" t="e">
        <f ca="1">L60</f>
        <v>#DIV/0!</v>
      </c>
      <c r="R66" s="1420" t="s">
        <v>867</v>
      </c>
    </row>
    <row r="67" spans="1:18" s="1384" customFormat="1" ht="16.5" thickBot="1">
      <c r="A67" s="957" t="s">
        <v>394</v>
      </c>
      <c r="B67" s="967" t="s">
        <v>750</v>
      </c>
      <c r="C67" s="316">
        <f ca="1">C48-C58</f>
        <v>0</v>
      </c>
      <c r="D67" s="963" t="s">
        <v>751</v>
      </c>
      <c r="E67" s="968"/>
      <c r="F67" s="969"/>
      <c r="O67" s="1428" t="s">
        <v>405</v>
      </c>
      <c r="P67" s="1419" t="s">
        <v>848</v>
      </c>
      <c r="Q67" s="1466">
        <f ca="1">L51</f>
        <v>0</v>
      </c>
      <c r="R67" s="1420" t="s">
        <v>868</v>
      </c>
    </row>
    <row r="68" spans="1:18" s="1384" customFormat="1" ht="16.5" thickBot="1">
      <c r="A68" s="947" t="s">
        <v>395</v>
      </c>
      <c r="B68" s="948" t="s">
        <v>772</v>
      </c>
      <c r="C68" s="301" t="e">
        <f ca="1">ROUND(C67*(1-((1+F70)/(1+F68))^F69)/(F68-F70),0)</f>
        <v>#DIV/0!</v>
      </c>
      <c r="D68" s="965" t="s">
        <v>756</v>
      </c>
      <c r="E68" s="950" t="s">
        <v>757</v>
      </c>
      <c r="F68" s="312">
        <f ca="1">F40</f>
        <v>0</v>
      </c>
      <c r="O68" s="1428" t="s">
        <v>406</v>
      </c>
      <c r="P68" s="1467" t="s">
        <v>869</v>
      </c>
      <c r="Q68" s="1420">
        <f ca="1">ROUND(Q69-Q70*Q71,0)</f>
        <v>0</v>
      </c>
      <c r="R68" s="1420" t="s">
        <v>414</v>
      </c>
    </row>
    <row r="69" spans="1:18" s="1384" customFormat="1" ht="13.5" thickBot="1">
      <c r="A69" s="951"/>
      <c r="B69" s="952"/>
      <c r="C69" s="306"/>
      <c r="D69" s="970" t="s">
        <v>760</v>
      </c>
      <c r="E69" s="950" t="s">
        <v>761</v>
      </c>
      <c r="F69" s="333">
        <f ca="1">F41</f>
        <v>0</v>
      </c>
      <c r="O69" s="1428" t="s">
        <v>411</v>
      </c>
      <c r="P69" s="1467" t="s">
        <v>870</v>
      </c>
      <c r="Q69" s="1420">
        <f ca="1">C39</f>
        <v>0</v>
      </c>
      <c r="R69" s="1420" t="s">
        <v>816</v>
      </c>
    </row>
    <row r="70" spans="1:18" s="1384" customFormat="1" ht="13.5" thickBot="1">
      <c r="A70" s="954"/>
      <c r="B70" s="955"/>
      <c r="C70" s="310"/>
      <c r="D70" s="966"/>
      <c r="E70" s="950" t="s">
        <v>764</v>
      </c>
      <c r="F70" s="1054"/>
      <c r="O70" s="1428" t="s">
        <v>412</v>
      </c>
      <c r="P70" s="1467" t="s">
        <v>871</v>
      </c>
      <c r="Q70" s="1420">
        <f ca="1">C13</f>
        <v>0</v>
      </c>
      <c r="R70" s="1420" t="s">
        <v>816</v>
      </c>
    </row>
    <row r="71" spans="1:18" s="1384" customFormat="1" ht="13.5" thickBot="1">
      <c r="A71" s="971" t="s">
        <v>396</v>
      </c>
      <c r="B71" s="972" t="s">
        <v>774</v>
      </c>
      <c r="C71" s="336" t="e">
        <f ca="1">ROUND(C68/F71,0)</f>
        <v>#DIV/0!</v>
      </c>
      <c r="D71" s="973" t="s">
        <v>775</v>
      </c>
      <c r="E71" s="974" t="s">
        <v>776</v>
      </c>
      <c r="F71" s="339">
        <f ca="1">F43</f>
        <v>0</v>
      </c>
      <c r="O71" s="1428" t="s">
        <v>413</v>
      </c>
      <c r="P71" s="1467" t="s">
        <v>872</v>
      </c>
      <c r="Q71" s="1431">
        <f ca="1">C76</f>
        <v>0</v>
      </c>
      <c r="R71" s="1420"/>
    </row>
    <row r="72" spans="1:18" s="1384" customFormat="1" ht="13.5" thickBot="1">
      <c r="B72" s="726"/>
      <c r="C72" s="726"/>
      <c r="O72" s="1428" t="s">
        <v>407</v>
      </c>
      <c r="P72" s="1419" t="s">
        <v>850</v>
      </c>
      <c r="Q72" s="1431">
        <f>L52</f>
        <v>0</v>
      </c>
      <c r="R72" s="1420"/>
    </row>
    <row r="73" spans="1:18" ht="16.5" thickBot="1">
      <c r="A73" s="1384"/>
      <c r="B73" s="726"/>
      <c r="C73" s="726"/>
      <c r="D73" s="1384"/>
      <c r="E73" s="1384"/>
      <c r="F73" s="1384"/>
      <c r="O73" s="1428" t="s">
        <v>408</v>
      </c>
      <c r="P73" s="1419" t="s">
        <v>853</v>
      </c>
      <c r="Q73" s="1420" t="e">
        <f ca="1">L58</f>
        <v>#DIV/0!</v>
      </c>
      <c r="R73" s="1420" t="s">
        <v>854</v>
      </c>
    </row>
    <row r="74" spans="1:18" ht="13.5" thickBot="1">
      <c r="A74" s="1384"/>
      <c r="B74" s="273" t="s">
        <v>873</v>
      </c>
      <c r="C74" s="1469"/>
      <c r="D74" s="1384"/>
      <c r="E74" s="1384"/>
      <c r="F74" s="1384"/>
      <c r="O74" s="1428" t="s">
        <v>415</v>
      </c>
      <c r="P74" s="1419" t="str">
        <f>K59</f>
        <v>建筑物剩余耐用年限下的土地年期修正系数Kn</v>
      </c>
      <c r="Q74" s="1420" t="e">
        <f ca="1">L59</f>
        <v>#DIV/0!</v>
      </c>
      <c r="R74" s="1420" t="s">
        <v>855</v>
      </c>
    </row>
    <row r="75" spans="1:18" ht="13.5" thickBot="1">
      <c r="A75" s="1384"/>
      <c r="B75" s="340" t="s">
        <v>793</v>
      </c>
      <c r="C75" s="341">
        <f ca="1">ROUND(C13*C76,0)</f>
        <v>0</v>
      </c>
      <c r="D75" s="1384"/>
      <c r="E75" s="1384"/>
      <c r="F75" s="1384"/>
      <c r="K75" s="1402"/>
      <c r="L75" s="1384"/>
      <c r="O75" s="1418" t="s">
        <v>409</v>
      </c>
      <c r="P75" s="1419" t="s">
        <v>836</v>
      </c>
      <c r="Q75" s="1420" t="e">
        <f ca="1">Q65+Q66</f>
        <v>#DIV/0!</v>
      </c>
      <c r="R75" s="1420" t="s">
        <v>410</v>
      </c>
    </row>
    <row r="76" spans="1:18">
      <c r="B76" s="342" t="s">
        <v>794</v>
      </c>
      <c r="C76" s="343">
        <f ca="1">INDIRECT("'数据-取费表'!j"&amp;$G$1)</f>
        <v>0</v>
      </c>
      <c r="I76" s="1384"/>
      <c r="J76" s="1384"/>
      <c r="K76" s="1402"/>
      <c r="L76" s="1384"/>
    </row>
    <row r="77" spans="1:18">
      <c r="B77" s="344" t="s">
        <v>795</v>
      </c>
      <c r="C77" s="345"/>
      <c r="I77" s="1384"/>
      <c r="J77" s="1384"/>
      <c r="K77" s="1402"/>
      <c r="L77" s="1384"/>
    </row>
    <row r="78" spans="1:18">
      <c r="B78" s="270" t="s">
        <v>796</v>
      </c>
      <c r="C78" s="346"/>
    </row>
    <row r="79" spans="1:18">
      <c r="B79" s="340" t="s">
        <v>797</v>
      </c>
      <c r="C79" s="274" t="e">
        <f ca="1">1-C80</f>
        <v>#DIV/0!</v>
      </c>
    </row>
    <row r="80" spans="1:18">
      <c r="B80" s="340" t="s">
        <v>798</v>
      </c>
      <c r="C80" s="274" t="e">
        <f ca="1">ROUND(C75/C39,3)</f>
        <v>#DIV/0!</v>
      </c>
    </row>
    <row r="81" spans="2:3">
      <c r="B81" s="270" t="s">
        <v>799</v>
      </c>
      <c r="C81" s="238"/>
    </row>
    <row r="82" spans="2:3">
      <c r="B82" s="273" t="s">
        <v>800</v>
      </c>
      <c r="C82" s="275" t="e">
        <f ca="1">1-C83</f>
        <v>#DIV/0!</v>
      </c>
    </row>
    <row r="83" spans="2:3">
      <c r="B83" s="273" t="s">
        <v>801</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201" priority="4">
      <formula>$L$48&gt;$J$51</formula>
    </cfRule>
  </conditionalFormatting>
  <conditionalFormatting sqref="I55 I60">
    <cfRule type="expression" dxfId="200" priority="5">
      <formula>$J$51&gt;$L$48</formula>
    </cfRule>
  </conditionalFormatting>
  <conditionalFormatting sqref="C11">
    <cfRule type="expression" dxfId="199" priority="3">
      <formula>$F$10="自定义"</formula>
    </cfRule>
  </conditionalFormatting>
  <conditionalFormatting sqref="J11">
    <cfRule type="expression" dxfId="198" priority="2">
      <formula>$M$10="自定义"</formula>
    </cfRule>
  </conditionalFormatting>
  <conditionalFormatting sqref="C54">
    <cfRule type="expression" dxfId="19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2436</v>
      </c>
      <c r="B1" s="2832"/>
      <c r="C1" s="2844"/>
      <c r="D1" s="2844"/>
      <c r="E1" s="2833"/>
      <c r="F1" s="2834"/>
      <c r="G1" s="2835"/>
      <c r="J1" s="2838" t="s">
        <v>2315</v>
      </c>
      <c r="K1" s="2839"/>
      <c r="L1" s="2839"/>
      <c r="M1" s="2839"/>
      <c r="N1" s="2839"/>
      <c r="O1" s="2839"/>
      <c r="P1" s="2839"/>
      <c r="Q1" s="2839"/>
      <c r="R1" s="2840"/>
      <c r="S1" s="2841"/>
      <c r="T1" s="2841"/>
      <c r="U1" s="2841"/>
    </row>
    <row r="2" spans="1:22" s="2853" customFormat="1" ht="13.15" customHeight="1">
      <c r="A2" s="1385" t="s">
        <v>2316</v>
      </c>
      <c r="B2" s="2843" t="e">
        <f>IF(D2="——",C40,C40+E2)</f>
        <v>#DIV/0!</v>
      </c>
      <c r="C2" s="2844" t="s">
        <v>2317</v>
      </c>
      <c r="D2" s="3443" t="s">
        <v>3360</v>
      </c>
      <c r="E2" s="3444"/>
      <c r="F2" s="2846"/>
      <c r="G2" s="2847"/>
      <c r="H2" s="2848"/>
      <c r="I2" s="2849"/>
      <c r="J2" s="3883" t="s">
        <v>2318</v>
      </c>
      <c r="K2" s="3884"/>
      <c r="L2" s="2850" t="s">
        <v>2319</v>
      </c>
      <c r="M2" s="2850" t="s">
        <v>2320</v>
      </c>
      <c r="N2" s="2850" t="s">
        <v>2321</v>
      </c>
      <c r="O2" s="2850" t="s">
        <v>2322</v>
      </c>
      <c r="P2" s="2850" t="s">
        <v>2323</v>
      </c>
      <c r="Q2" s="2851" t="s">
        <v>2324</v>
      </c>
      <c r="R2" s="2852" t="s">
        <v>2325</v>
      </c>
      <c r="S2" s="2841"/>
      <c r="T2" s="2841"/>
      <c r="U2" s="2841"/>
      <c r="V2" s="2849"/>
    </row>
    <row r="3" spans="1:22" s="2853" customFormat="1" ht="13.15" customHeight="1">
      <c r="A3" s="2854" t="s">
        <v>2326</v>
      </c>
      <c r="B3" s="2855" t="e">
        <f>ROUND(B2*10000/B4,0)</f>
        <v>#DIV/0!</v>
      </c>
      <c r="C3" s="2844" t="s">
        <v>2327</v>
      </c>
      <c r="D3" s="2844"/>
      <c r="E3" s="2845"/>
      <c r="F3" s="2846"/>
      <c r="G3" s="2847"/>
      <c r="H3" s="2848"/>
      <c r="I3" s="2849"/>
      <c r="J3" s="3885" t="s">
        <v>2328</v>
      </c>
      <c r="K3" s="3886"/>
      <c r="L3" s="2856"/>
      <c r="M3" s="2856"/>
      <c r="N3" s="2856"/>
      <c r="O3" s="2856"/>
      <c r="P3" s="2856"/>
      <c r="Q3" s="2857"/>
      <c r="R3" s="2858">
        <f>SUM(L3:Q3)</f>
        <v>0</v>
      </c>
      <c r="S3" s="2841"/>
      <c r="T3" s="2841"/>
      <c r="U3" s="2841"/>
      <c r="V3" s="2849"/>
    </row>
    <row r="4" spans="1:22" s="2853" customFormat="1" ht="13.15" customHeight="1">
      <c r="A4" s="2859" t="s">
        <v>2329</v>
      </c>
      <c r="B4" s="2860"/>
      <c r="C4" s="2844"/>
      <c r="D4" s="2844"/>
      <c r="E4" s="2845"/>
      <c r="F4" s="2846"/>
      <c r="G4" s="2847"/>
      <c r="H4" s="2848"/>
      <c r="I4" s="2849"/>
      <c r="J4" s="3885" t="s">
        <v>2330</v>
      </c>
      <c r="K4" s="3886"/>
      <c r="L4" s="2861"/>
      <c r="M4" s="2861"/>
      <c r="N4" s="2861"/>
      <c r="O4" s="2861"/>
      <c r="P4" s="2861"/>
      <c r="Q4" s="2862"/>
      <c r="R4" s="2863">
        <f>SUM(L4:Q4)</f>
        <v>0</v>
      </c>
      <c r="S4" s="2841"/>
      <c r="T4" s="2841"/>
      <c r="U4" s="2841"/>
      <c r="V4" s="2849"/>
    </row>
    <row r="5" spans="1:22" s="2853" customFormat="1" ht="13.15" customHeight="1" thickBot="1">
      <c r="A5" s="2864" t="s">
        <v>2331</v>
      </c>
      <c r="B5" s="2865"/>
      <c r="C5" s="2844"/>
      <c r="D5" s="2866"/>
      <c r="E5" s="2846"/>
      <c r="F5" s="2846"/>
      <c r="G5" s="2847"/>
      <c r="H5" s="2848"/>
      <c r="I5" s="2849"/>
      <c r="J5" s="2867" t="s">
        <v>2332</v>
      </c>
      <c r="K5" s="2868"/>
      <c r="L5" s="2868"/>
      <c r="M5" s="2869"/>
      <c r="N5" s="2869"/>
      <c r="O5" s="2869"/>
      <c r="P5" s="2869"/>
      <c r="Q5" s="2869"/>
      <c r="R5" s="2852">
        <f>SUM(R14,R19,R24,R25,R27,R28)</f>
        <v>0</v>
      </c>
      <c r="S5" s="2841"/>
      <c r="T5" s="2841" t="s">
        <v>2333</v>
      </c>
      <c r="U5" s="2841" t="e">
        <f>ROUND(R5*10000/365/R3,1)</f>
        <v>#DIV/0!</v>
      </c>
      <c r="V5" s="2849"/>
    </row>
    <row r="6" spans="1:22" s="2853" customFormat="1" ht="13.15" customHeight="1" thickBot="1">
      <c r="A6" s="3891" t="s">
        <v>2334</v>
      </c>
      <c r="B6" s="3892"/>
      <c r="C6" s="3893"/>
      <c r="D6" s="2870"/>
      <c r="E6" s="2871"/>
      <c r="F6" s="2872"/>
      <c r="G6" s="2873"/>
      <c r="H6" s="2848"/>
      <c r="I6" s="2849"/>
      <c r="J6" s="3877">
        <v>1</v>
      </c>
      <c r="K6" s="3878" t="s">
        <v>2335</v>
      </c>
      <c r="L6" s="2874" t="s">
        <v>2336</v>
      </c>
      <c r="M6" s="2875" t="s">
        <v>2337</v>
      </c>
      <c r="N6" s="2875" t="s">
        <v>2338</v>
      </c>
      <c r="O6" s="2875" t="s">
        <v>2339</v>
      </c>
      <c r="P6" s="2875" t="s">
        <v>2340</v>
      </c>
      <c r="Q6" s="2875" t="s">
        <v>2341</v>
      </c>
      <c r="R6" s="2858" t="s">
        <v>2342</v>
      </c>
      <c r="S6" s="2841"/>
      <c r="T6" s="2841" t="s">
        <v>2343</v>
      </c>
      <c r="U6" s="2841"/>
      <c r="V6" s="2849"/>
    </row>
    <row r="7" spans="1:22" s="2853" customFormat="1" ht="13.15" customHeight="1">
      <c r="A7" s="2876" t="s">
        <v>2344</v>
      </c>
      <c r="B7" s="2877"/>
      <c r="C7" s="2878"/>
      <c r="D7" s="2879">
        <f>SUM(D9,D10,D11,D17,0)</f>
        <v>0</v>
      </c>
      <c r="E7" s="2880" t="e">
        <f>E9+E10+E11+E17</f>
        <v>#DIV/0!</v>
      </c>
      <c r="F7" s="2881"/>
      <c r="G7" s="2882"/>
      <c r="H7" s="2848"/>
      <c r="I7" s="2849"/>
      <c r="J7" s="3877"/>
      <c r="K7" s="3879"/>
      <c r="L7" s="2883" t="s">
        <v>2345</v>
      </c>
      <c r="M7" s="2884"/>
      <c r="N7" s="2860"/>
      <c r="O7" s="2885"/>
      <c r="P7" s="2885"/>
      <c r="Q7" s="2886">
        <v>365</v>
      </c>
      <c r="R7" s="2887">
        <f>ROUND(M7*N7*O7*P7*Q7/10000,0)</f>
        <v>0</v>
      </c>
      <c r="S7" s="2841"/>
      <c r="T7" s="2841" t="s">
        <v>2346</v>
      </c>
      <c r="U7" s="2841"/>
      <c r="V7" s="2849"/>
    </row>
    <row r="8" spans="1:22" s="2853" customFormat="1" ht="13.15" customHeight="1">
      <c r="A8" s="2888" t="s">
        <v>2347</v>
      </c>
      <c r="B8" s="3894" t="s">
        <v>2348</v>
      </c>
      <c r="C8" s="3895"/>
      <c r="D8" s="2889" t="s">
        <v>2349</v>
      </c>
      <c r="E8" s="2890" t="s">
        <v>2350</v>
      </c>
      <c r="F8" s="2891" t="s">
        <v>2351</v>
      </c>
      <c r="G8" s="2892"/>
      <c r="H8" s="2848"/>
      <c r="I8" s="2849"/>
      <c r="J8" s="3877"/>
      <c r="K8" s="3879"/>
      <c r="L8" s="2883" t="s">
        <v>2352</v>
      </c>
      <c r="M8" s="2884"/>
      <c r="N8" s="2860"/>
      <c r="O8" s="2885"/>
      <c r="P8" s="2885"/>
      <c r="Q8" s="2886">
        <v>365</v>
      </c>
      <c r="R8" s="2887">
        <f t="shared" ref="R8:R13" si="0">ROUND(M8*N8*O8*P8*Q8/10000,0)</f>
        <v>0</v>
      </c>
      <c r="S8" s="2841"/>
      <c r="T8" s="2841" t="s">
        <v>2353</v>
      </c>
      <c r="U8" s="2841"/>
      <c r="V8" s="2849"/>
    </row>
    <row r="9" spans="1:22" s="2853" customFormat="1" ht="13.15" customHeight="1">
      <c r="A9" s="2888">
        <v>1</v>
      </c>
      <c r="B9" s="3894" t="s">
        <v>2354</v>
      </c>
      <c r="C9" s="3895"/>
      <c r="D9" s="2889">
        <f>ROUND(D6*E9,0)</f>
        <v>0</v>
      </c>
      <c r="E9" s="2893"/>
      <c r="F9" s="2894" t="s">
        <v>2355</v>
      </c>
      <c r="G9" s="2873"/>
      <c r="H9" s="2848"/>
      <c r="I9" s="2849"/>
      <c r="J9" s="3877"/>
      <c r="K9" s="3879"/>
      <c r="L9" s="2883" t="s">
        <v>2356</v>
      </c>
      <c r="M9" s="2884"/>
      <c r="N9" s="2860"/>
      <c r="O9" s="2885"/>
      <c r="P9" s="2885"/>
      <c r="Q9" s="2886">
        <v>365</v>
      </c>
      <c r="R9" s="2887">
        <f t="shared" si="0"/>
        <v>0</v>
      </c>
      <c r="S9" s="2841"/>
      <c r="T9" s="2841"/>
      <c r="U9" s="2841"/>
      <c r="V9" s="2849"/>
    </row>
    <row r="10" spans="1:22" s="2853" customFormat="1" ht="13.15" customHeight="1">
      <c r="A10" s="2888">
        <v>2</v>
      </c>
      <c r="B10" s="3894" t="s">
        <v>2357</v>
      </c>
      <c r="C10" s="3895"/>
      <c r="D10" s="2889">
        <f>ROUND(D6*E10,0)</f>
        <v>0</v>
      </c>
      <c r="E10" s="2893"/>
      <c r="F10" s="2894" t="s">
        <v>2358</v>
      </c>
      <c r="G10" s="2873"/>
      <c r="H10" s="2848"/>
      <c r="I10" s="2849"/>
      <c r="J10" s="3877"/>
      <c r="K10" s="3879"/>
      <c r="L10" s="2883" t="s">
        <v>2359</v>
      </c>
      <c r="M10" s="2884"/>
      <c r="N10" s="2860"/>
      <c r="O10" s="2885"/>
      <c r="P10" s="2885"/>
      <c r="Q10" s="2886">
        <v>365</v>
      </c>
      <c r="R10" s="2887">
        <f t="shared" si="0"/>
        <v>0</v>
      </c>
      <c r="S10" s="2841"/>
      <c r="T10" s="2841"/>
      <c r="U10" s="2841"/>
      <c r="V10" s="2849"/>
    </row>
    <row r="11" spans="1:22" s="2853" customFormat="1" ht="13.15" customHeight="1">
      <c r="A11" s="2888">
        <v>3</v>
      </c>
      <c r="B11" s="3894" t="s">
        <v>2360</v>
      </c>
      <c r="C11" s="3895"/>
      <c r="D11" s="2889">
        <f>D12+D14+D15+D16</f>
        <v>0</v>
      </c>
      <c r="E11" s="2895" t="e">
        <f>D11/D6</f>
        <v>#DIV/0!</v>
      </c>
      <c r="F11" s="2891"/>
      <c r="G11" s="2892"/>
      <c r="H11" s="2848"/>
      <c r="I11" s="2849"/>
      <c r="J11" s="3877"/>
      <c r="K11" s="3879"/>
      <c r="L11" s="2883" t="s">
        <v>2361</v>
      </c>
      <c r="M11" s="2884"/>
      <c r="N11" s="2860"/>
      <c r="O11" s="2885"/>
      <c r="P11" s="2885"/>
      <c r="Q11" s="2886">
        <v>365</v>
      </c>
      <c r="R11" s="2887">
        <f t="shared" si="0"/>
        <v>0</v>
      </c>
      <c r="S11" s="2841"/>
      <c r="T11" s="2841"/>
      <c r="U11" s="2841"/>
      <c r="V11" s="2849"/>
    </row>
    <row r="12" spans="1:22" s="2853" customFormat="1" ht="13.15" customHeight="1">
      <c r="A12" s="2896" t="s">
        <v>2362</v>
      </c>
      <c r="B12" s="3887" t="s">
        <v>2363</v>
      </c>
      <c r="C12" s="3888"/>
      <c r="D12" s="2897">
        <f>ROUND(D13*1.2%*(1-30%),0)</f>
        <v>0</v>
      </c>
      <c r="E12" s="2898">
        <v>1.2E-2</v>
      </c>
      <c r="F12" s="2891" t="s">
        <v>2364</v>
      </c>
      <c r="G12" s="2892"/>
      <c r="H12" s="2848"/>
      <c r="I12" s="2849"/>
      <c r="J12" s="3877"/>
      <c r="K12" s="3879"/>
      <c r="L12" s="2883" t="s">
        <v>2365</v>
      </c>
      <c r="M12" s="2884"/>
      <c r="N12" s="2860"/>
      <c r="O12" s="2885"/>
      <c r="P12" s="2885"/>
      <c r="Q12" s="2886">
        <v>365</v>
      </c>
      <c r="R12" s="2887">
        <f t="shared" si="0"/>
        <v>0</v>
      </c>
      <c r="S12" s="2841"/>
      <c r="T12" s="2841"/>
      <c r="U12" s="2841"/>
      <c r="V12" s="2849"/>
    </row>
    <row r="13" spans="1:22" s="2853" customFormat="1" ht="13.15" customHeight="1">
      <c r="A13" s="2896"/>
      <c r="B13" s="2899"/>
      <c r="C13" s="2900" t="s">
        <v>2366</v>
      </c>
      <c r="D13" s="2901"/>
      <c r="E13" s="2902"/>
      <c r="F13" s="2891"/>
      <c r="G13" s="2892"/>
      <c r="H13" s="2848"/>
      <c r="I13" s="2849"/>
      <c r="J13" s="3877"/>
      <c r="K13" s="3879"/>
      <c r="L13" s="2883" t="s">
        <v>2367</v>
      </c>
      <c r="M13" s="2884"/>
      <c r="N13" s="2860"/>
      <c r="O13" s="2885"/>
      <c r="P13" s="2885"/>
      <c r="Q13" s="2886">
        <v>365</v>
      </c>
      <c r="R13" s="2887">
        <f t="shared" si="0"/>
        <v>0</v>
      </c>
      <c r="S13" s="2841"/>
      <c r="T13" s="2841"/>
      <c r="U13" s="2841"/>
      <c r="V13" s="2849"/>
    </row>
    <row r="14" spans="1:22" s="2853" customFormat="1" ht="13.15" customHeight="1">
      <c r="A14" s="2896" t="s">
        <v>2368</v>
      </c>
      <c r="B14" s="3887" t="s">
        <v>2369</v>
      </c>
      <c r="C14" s="3888"/>
      <c r="D14" s="2897">
        <f>ROUND(E14*B5/10000,0)</f>
        <v>0</v>
      </c>
      <c r="E14" s="2886"/>
      <c r="F14" s="2891" t="s">
        <v>2370</v>
      </c>
      <c r="G14" s="2892"/>
      <c r="H14" s="2848"/>
      <c r="I14" s="2849"/>
      <c r="J14" s="3877"/>
      <c r="K14" s="3880"/>
      <c r="L14" s="2903" t="s">
        <v>2371</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2372</v>
      </c>
      <c r="B15" s="3887" t="s">
        <v>2373</v>
      </c>
      <c r="C15" s="3888"/>
      <c r="D15" s="2897">
        <f>ROUND(D6*E15,0)</f>
        <v>0</v>
      </c>
      <c r="E15" s="2898">
        <v>5.5E-2</v>
      </c>
      <c r="F15" s="2891" t="s">
        <v>2374</v>
      </c>
      <c r="G15" s="2873"/>
      <c r="H15" s="2848"/>
      <c r="I15" s="2849"/>
      <c r="J15" s="3877">
        <v>2</v>
      </c>
      <c r="K15" s="3878" t="s">
        <v>2375</v>
      </c>
      <c r="L15" s="2883" t="s">
        <v>2376</v>
      </c>
      <c r="M15" s="2884" t="s">
        <v>2377</v>
      </c>
      <c r="N15" s="2884" t="s">
        <v>2378</v>
      </c>
      <c r="O15" s="2885" t="s">
        <v>2379</v>
      </c>
      <c r="P15" s="2885" t="s">
        <v>2341</v>
      </c>
      <c r="Q15" s="2860" t="s">
        <v>2380</v>
      </c>
      <c r="R15" s="2907" t="s">
        <v>2342</v>
      </c>
      <c r="S15" s="2841"/>
      <c r="T15" s="2841"/>
      <c r="U15" s="2841"/>
      <c r="V15" s="2849"/>
    </row>
    <row r="16" spans="1:22" s="2853" customFormat="1" ht="13.15" customHeight="1">
      <c r="A16" s="2896" t="s">
        <v>2381</v>
      </c>
      <c r="B16" s="3887" t="s">
        <v>2382</v>
      </c>
      <c r="C16" s="3888"/>
      <c r="D16" s="2908">
        <f>D6*E16</f>
        <v>0</v>
      </c>
      <c r="E16" s="2909"/>
      <c r="F16" s="2894" t="s">
        <v>2383</v>
      </c>
      <c r="G16" s="2873"/>
      <c r="H16" s="2848"/>
      <c r="I16" s="2849"/>
      <c r="J16" s="3877"/>
      <c r="K16" s="3879"/>
      <c r="L16" s="2883" t="s">
        <v>2384</v>
      </c>
      <c r="M16" s="2884"/>
      <c r="N16" s="2884"/>
      <c r="O16" s="2885"/>
      <c r="P16" s="2886">
        <v>365</v>
      </c>
      <c r="Q16" s="2860"/>
      <c r="R16" s="2907">
        <f>ROUND(M16*N16*O16*P16/10000,0)</f>
        <v>0</v>
      </c>
      <c r="S16" s="2841"/>
      <c r="T16" s="2841"/>
      <c r="U16" s="2841"/>
      <c r="V16" s="2849"/>
    </row>
    <row r="17" spans="1:22" s="2853" customFormat="1" ht="13.15" customHeight="1" thickBot="1">
      <c r="A17" s="2910">
        <v>4</v>
      </c>
      <c r="B17" s="3889" t="s">
        <v>2385</v>
      </c>
      <c r="C17" s="3890"/>
      <c r="D17" s="2911">
        <f>ROUND(D6*E17,0)</f>
        <v>0</v>
      </c>
      <c r="E17" s="2912"/>
      <c r="F17" s="2913" t="s">
        <v>2386</v>
      </c>
      <c r="G17" s="2873"/>
      <c r="H17" s="2848"/>
      <c r="I17" s="2849"/>
      <c r="J17" s="3877"/>
      <c r="K17" s="3879"/>
      <c r="L17" s="2883" t="s">
        <v>2387</v>
      </c>
      <c r="M17" s="2884"/>
      <c r="N17" s="2884"/>
      <c r="O17" s="2885"/>
      <c r="P17" s="2886">
        <v>365</v>
      </c>
      <c r="Q17" s="2860"/>
      <c r="R17" s="2907">
        <f>ROUND(M17*N17*O17*P17/10000,0)</f>
        <v>0</v>
      </c>
      <c r="S17" s="2841"/>
      <c r="T17" s="2841"/>
      <c r="U17" s="2841"/>
      <c r="V17" s="2849"/>
    </row>
    <row r="18" spans="1:22" s="2853" customFormat="1" ht="13.15" customHeight="1" thickBot="1">
      <c r="A18" s="2876" t="s">
        <v>2388</v>
      </c>
      <c r="B18" s="2877"/>
      <c r="C18" s="2877"/>
      <c r="D18" s="2914">
        <f>ROUND(D6*E18,0)</f>
        <v>0</v>
      </c>
      <c r="E18" s="2915"/>
      <c r="F18" s="2916" t="s">
        <v>2389</v>
      </c>
      <c r="G18" s="2873"/>
      <c r="H18" s="2848"/>
      <c r="I18" s="2849"/>
      <c r="J18" s="3877"/>
      <c r="K18" s="3879"/>
      <c r="L18" s="2883" t="s">
        <v>2390</v>
      </c>
      <c r="M18" s="2884"/>
      <c r="N18" s="2884"/>
      <c r="O18" s="2885"/>
      <c r="P18" s="2886">
        <v>365</v>
      </c>
      <c r="Q18" s="2860"/>
      <c r="R18" s="2907">
        <f>ROUND(M18*N18*O18*P18/10000,0)</f>
        <v>0</v>
      </c>
      <c r="S18" s="2841"/>
      <c r="T18" s="2841"/>
      <c r="U18" s="2841"/>
      <c r="V18" s="2849"/>
    </row>
    <row r="19" spans="1:22" s="2853" customFormat="1" ht="13.15" customHeight="1" thickBot="1">
      <c r="A19" s="2917" t="s">
        <v>2391</v>
      </c>
      <c r="B19" s="2871"/>
      <c r="C19" s="2871"/>
      <c r="D19" s="2871"/>
      <c r="E19" s="2871"/>
      <c r="F19" s="2872"/>
      <c r="G19" s="2892"/>
      <c r="H19" s="2848"/>
      <c r="I19" s="2849"/>
      <c r="J19" s="3877"/>
      <c r="K19" s="3880"/>
      <c r="L19" s="2903" t="s">
        <v>2371</v>
      </c>
      <c r="M19" s="2904"/>
      <c r="N19" s="2904">
        <f>SUM(N16:N18)</f>
        <v>0</v>
      </c>
      <c r="O19" s="2905"/>
      <c r="P19" s="2918" t="s">
        <v>2435</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877">
        <v>3</v>
      </c>
      <c r="K20" s="3878" t="s">
        <v>2392</v>
      </c>
      <c r="L20" s="2883" t="s">
        <v>2393</v>
      </c>
      <c r="M20" s="2884" t="s">
        <v>2394</v>
      </c>
      <c r="N20" s="2921" t="s">
        <v>2395</v>
      </c>
      <c r="O20" s="2885" t="s">
        <v>2396</v>
      </c>
      <c r="P20" s="2886" t="s">
        <v>2397</v>
      </c>
      <c r="Q20" s="2860" t="s">
        <v>2398</v>
      </c>
      <c r="R20" s="2907" t="s">
        <v>2399</v>
      </c>
      <c r="S20" s="2922"/>
      <c r="T20" s="2922"/>
      <c r="U20" s="2922"/>
      <c r="V20" s="2849"/>
    </row>
    <row r="21" spans="1:22" s="2853" customFormat="1" ht="13.15" customHeight="1">
      <c r="A21" s="2876"/>
      <c r="B21" s="2877"/>
      <c r="C21" s="2923" t="s">
        <v>2400</v>
      </c>
      <c r="D21" s="2924" t="s">
        <v>2401</v>
      </c>
      <c r="E21" s="2925" t="s">
        <v>2402</v>
      </c>
      <c r="F21" s="2920"/>
      <c r="G21" s="2892"/>
      <c r="H21" s="2848"/>
      <c r="I21" s="2849"/>
      <c r="J21" s="3877"/>
      <c r="K21" s="3879"/>
      <c r="L21" s="2883" t="s">
        <v>2403</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2404</v>
      </c>
      <c r="D22" s="2928" t="s">
        <v>2405</v>
      </c>
      <c r="E22" s="2929" t="s">
        <v>2406</v>
      </c>
      <c r="F22" s="2920"/>
      <c r="G22" s="2930"/>
      <c r="H22" s="2848"/>
      <c r="I22" s="2849"/>
      <c r="J22" s="3877"/>
      <c r="K22" s="3879"/>
      <c r="L22" s="2883" t="s">
        <v>2407</v>
      </c>
      <c r="M22" s="2884"/>
      <c r="N22" s="2884"/>
      <c r="O22" s="2885"/>
      <c r="P22" s="2886">
        <v>365</v>
      </c>
      <c r="Q22" s="2860"/>
      <c r="R22" s="2926">
        <f>ROUND(M22*N22*O22*P22/10000,0)</f>
        <v>0</v>
      </c>
      <c r="S22" s="2922"/>
      <c r="T22" s="2922"/>
      <c r="U22" s="2922"/>
      <c r="V22" s="2849"/>
    </row>
    <row r="23" spans="1:22" s="2853" customFormat="1" ht="13.15" customHeight="1">
      <c r="A23" s="2931">
        <v>1</v>
      </c>
      <c r="B23" s="2932" t="s">
        <v>2408</v>
      </c>
      <c r="C23" s="2933">
        <f>D6</f>
        <v>0</v>
      </c>
      <c r="D23" s="2934">
        <f>C23*(1+D24)</f>
        <v>0</v>
      </c>
      <c r="E23" s="2935">
        <f>D23*(1+E24)</f>
        <v>0</v>
      </c>
      <c r="F23" s="2936"/>
      <c r="G23" s="2937"/>
      <c r="H23" s="2848"/>
      <c r="I23" s="2849"/>
      <c r="J23" s="3877"/>
      <c r="K23" s="3879"/>
      <c r="L23" s="2883" t="s">
        <v>2409</v>
      </c>
      <c r="M23" s="2884"/>
      <c r="N23" s="2884"/>
      <c r="O23" s="2885"/>
      <c r="P23" s="2886">
        <v>365</v>
      </c>
      <c r="Q23" s="2860"/>
      <c r="R23" s="2926">
        <f>ROUND(M23*N23*O23*P23/10000,0)</f>
        <v>0</v>
      </c>
      <c r="S23" s="2841"/>
      <c r="T23" s="2841"/>
      <c r="U23" s="2841"/>
      <c r="V23" s="2849"/>
    </row>
    <row r="24" spans="1:22" s="2853" customFormat="1" ht="13.15" customHeight="1">
      <c r="A24" s="2938"/>
      <c r="B24" s="2939" t="s">
        <v>2410</v>
      </c>
      <c r="C24" s="2940"/>
      <c r="D24" s="2941"/>
      <c r="E24" s="2942"/>
      <c r="F24" s="2943"/>
      <c r="G24" s="2937"/>
      <c r="H24" s="2848"/>
      <c r="I24" s="2849"/>
      <c r="J24" s="3877"/>
      <c r="K24" s="3880"/>
      <c r="L24" s="2903" t="s">
        <v>2371</v>
      </c>
      <c r="M24" s="2904">
        <f>SUM(M21:M23)</f>
        <v>0</v>
      </c>
      <c r="N24" s="2904"/>
      <c r="O24" s="2905"/>
      <c r="P24" s="2918" t="s">
        <v>2435</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2411</v>
      </c>
      <c r="L25" s="2946"/>
      <c r="M25" s="2946"/>
      <c r="N25" s="2946"/>
      <c r="O25" s="2946"/>
      <c r="P25" s="2947"/>
      <c r="Q25" s="2948">
        <v>0</v>
      </c>
      <c r="R25" s="2919">
        <f>ROUND(R14*Q25,0)</f>
        <v>0</v>
      </c>
      <c r="S25" s="2841"/>
      <c r="T25" s="2841"/>
      <c r="U25" s="2841"/>
      <c r="V25" s="2949"/>
    </row>
    <row r="26" spans="1:22" s="2950" customFormat="1" ht="13.15" customHeight="1">
      <c r="A26" s="2931">
        <v>2</v>
      </c>
      <c r="B26" s="2932" t="s">
        <v>2412</v>
      </c>
      <c r="C26" s="2933">
        <f>D7</f>
        <v>0</v>
      </c>
      <c r="D26" s="2934">
        <f>D23*D27</f>
        <v>0</v>
      </c>
      <c r="E26" s="2935">
        <f>E23*E27</f>
        <v>0</v>
      </c>
      <c r="F26" s="2936"/>
      <c r="G26" s="2937"/>
      <c r="H26" s="2848"/>
      <c r="I26" s="2849"/>
      <c r="J26" s="3881">
        <v>5</v>
      </c>
      <c r="K26" s="2951" t="s">
        <v>2413</v>
      </c>
      <c r="L26" s="2952"/>
      <c r="M26" s="2953"/>
      <c r="N26" s="2954" t="s">
        <v>2414</v>
      </c>
      <c r="O26" s="2954" t="s">
        <v>2415</v>
      </c>
      <c r="P26" s="2955" t="s">
        <v>2416</v>
      </c>
      <c r="Q26" s="2955" t="s">
        <v>2417</v>
      </c>
      <c r="R26" s="2858" t="s">
        <v>2342</v>
      </c>
      <c r="S26" s="2956"/>
      <c r="T26" s="2956"/>
      <c r="U26" s="2956"/>
      <c r="V26" s="2949"/>
    </row>
    <row r="27" spans="1:22" s="2853" customFormat="1" ht="13.15" customHeight="1">
      <c r="A27" s="2938"/>
      <c r="B27" s="2939" t="s">
        <v>2418</v>
      </c>
      <c r="C27" s="2957" t="e">
        <f>E7</f>
        <v>#DIV/0!</v>
      </c>
      <c r="D27" s="2941"/>
      <c r="E27" s="2942"/>
      <c r="F27" s="2943"/>
      <c r="G27" s="2937"/>
      <c r="H27" s="2958"/>
      <c r="I27" s="2949"/>
      <c r="J27" s="3882"/>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2419</v>
      </c>
      <c r="F28" s="2943"/>
      <c r="G28" s="2930"/>
      <c r="H28" s="2958"/>
      <c r="I28" s="2949"/>
      <c r="J28" s="2964">
        <v>6</v>
      </c>
      <c r="K28" s="2965" t="s">
        <v>2420</v>
      </c>
      <c r="L28" s="2966" t="s">
        <v>2421</v>
      </c>
      <c r="M28" s="2967"/>
      <c r="N28" s="2966" t="s">
        <v>2422</v>
      </c>
      <c r="O28" s="2968"/>
      <c r="P28" s="2966" t="s">
        <v>2423</v>
      </c>
      <c r="Q28" s="2969">
        <v>1.4999999999999999E-2</v>
      </c>
      <c r="R28" s="2970"/>
      <c r="S28" s="2922"/>
      <c r="T28" s="2922"/>
      <c r="U28" s="2922"/>
      <c r="V28" s="2949"/>
    </row>
    <row r="29" spans="1:22" s="2950" customFormat="1" ht="13.15" customHeight="1">
      <c r="A29" s="2931">
        <v>3</v>
      </c>
      <c r="B29" s="2932" t="s">
        <v>2424</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2418</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2425</v>
      </c>
      <c r="K31" s="2839"/>
      <c r="L31" s="2839"/>
      <c r="M31" s="2839"/>
      <c r="N31" s="2839"/>
      <c r="O31" s="2839"/>
      <c r="P31" s="2839"/>
      <c r="Q31" s="2839"/>
      <c r="R31" s="2840"/>
      <c r="S31" s="2922"/>
      <c r="T31" s="2841"/>
      <c r="U31" s="2841"/>
      <c r="V31" s="2949"/>
    </row>
    <row r="32" spans="1:22" s="2950" customFormat="1" ht="13.15" customHeight="1">
      <c r="A32" s="2931">
        <v>4</v>
      </c>
      <c r="B32" s="2932" t="s">
        <v>2426</v>
      </c>
      <c r="C32" s="2933">
        <f>C23-C26-C29</f>
        <v>0</v>
      </c>
      <c r="D32" s="2934">
        <f>D23-D26-D29</f>
        <v>0</v>
      </c>
      <c r="E32" s="2935">
        <f>E23-E26-E29</f>
        <v>0</v>
      </c>
      <c r="F32" s="2936"/>
      <c r="G32" s="2930"/>
      <c r="H32" s="2848"/>
      <c r="I32" s="2849"/>
      <c r="J32" s="3883" t="s">
        <v>2318</v>
      </c>
      <c r="K32" s="3884"/>
      <c r="L32" s="2850" t="s">
        <v>2319</v>
      </c>
      <c r="M32" s="2850" t="s">
        <v>2320</v>
      </c>
      <c r="N32" s="2850" t="s">
        <v>2321</v>
      </c>
      <c r="O32" s="2850" t="s">
        <v>2322</v>
      </c>
      <c r="P32" s="2850" t="s">
        <v>2323</v>
      </c>
      <c r="Q32" s="2851" t="s">
        <v>2324</v>
      </c>
      <c r="R32" s="2973" t="s">
        <v>2325</v>
      </c>
      <c r="S32" s="2922"/>
      <c r="T32" s="2841"/>
      <c r="U32" s="2841"/>
      <c r="V32" s="2949"/>
    </row>
    <row r="33" spans="1:23" s="2853" customFormat="1" ht="13.15" customHeight="1">
      <c r="A33" s="2931"/>
      <c r="B33" s="2932"/>
      <c r="C33" s="2933"/>
      <c r="D33" s="2974"/>
      <c r="E33" s="2975"/>
      <c r="F33" s="2936"/>
      <c r="G33" s="2930"/>
      <c r="H33" s="2958"/>
      <c r="I33" s="2949"/>
      <c r="J33" s="3885" t="s">
        <v>2328</v>
      </c>
      <c r="K33" s="3886"/>
      <c r="L33" s="2856"/>
      <c r="M33" s="2856"/>
      <c r="N33" s="2856"/>
      <c r="O33" s="2856"/>
      <c r="P33" s="2856"/>
      <c r="Q33" s="2857"/>
      <c r="R33" s="2976">
        <f>SUM(L33:Q33)</f>
        <v>0</v>
      </c>
      <c r="S33" s="2922"/>
      <c r="T33" s="2841"/>
      <c r="U33" s="2841"/>
      <c r="V33" s="2849"/>
    </row>
    <row r="34" spans="1:23" s="2853" customFormat="1" ht="13.15" customHeight="1">
      <c r="A34" s="2931">
        <v>5</v>
      </c>
      <c r="B34" s="2932" t="s">
        <v>2427</v>
      </c>
      <c r="C34" s="2977"/>
      <c r="D34" s="2978"/>
      <c r="E34" s="2979"/>
      <c r="F34" s="2936"/>
      <c r="G34" s="2930"/>
      <c r="H34" s="2958"/>
      <c r="I34" s="2949"/>
      <c r="J34" s="3885" t="s">
        <v>2330</v>
      </c>
      <c r="K34" s="3886"/>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2428</v>
      </c>
      <c r="C35" s="2981"/>
      <c r="D35" s="2982"/>
      <c r="E35" s="2983"/>
      <c r="F35" s="2936"/>
      <c r="G35" s="2984"/>
      <c r="H35" s="2848"/>
      <c r="I35" s="2949"/>
      <c r="J35" s="2867" t="s">
        <v>2332</v>
      </c>
      <c r="K35" s="2868"/>
      <c r="L35" s="2868"/>
      <c r="M35" s="2869"/>
      <c r="N35" s="2869"/>
      <c r="O35" s="2869"/>
      <c r="P35" s="2869"/>
      <c r="Q35" s="2869"/>
      <c r="R35" s="2985">
        <f>R40+R41+R43</f>
        <v>0</v>
      </c>
      <c r="S35" s="2922"/>
      <c r="T35" s="2841" t="s">
        <v>2333</v>
      </c>
      <c r="U35" s="2841"/>
      <c r="V35" s="2849"/>
    </row>
    <row r="36" spans="1:23" s="2853" customFormat="1" ht="13.15" customHeight="1" thickBot="1">
      <c r="A36" s="2931">
        <v>7</v>
      </c>
      <c r="B36" s="2986" t="s">
        <v>2429</v>
      </c>
      <c r="C36" s="2987"/>
      <c r="D36" s="2988"/>
      <c r="E36" s="2989"/>
      <c r="F36" s="2990">
        <f>C36+D36+E36</f>
        <v>0</v>
      </c>
      <c r="G36" s="2930"/>
      <c r="H36" s="2848"/>
      <c r="I36" s="2849"/>
      <c r="J36" s="3877">
        <v>1</v>
      </c>
      <c r="K36" s="3878" t="s">
        <v>2430</v>
      </c>
      <c r="L36" s="2874"/>
      <c r="M36" s="2875"/>
      <c r="N36" s="2875"/>
      <c r="O36" s="2875"/>
      <c r="P36" s="2875"/>
      <c r="Q36" s="2875"/>
      <c r="R36" s="2858" t="s">
        <v>2342</v>
      </c>
      <c r="S36" s="2922"/>
      <c r="T36" s="2841" t="s">
        <v>2343</v>
      </c>
      <c r="U36" s="2841"/>
      <c r="V36" s="2849"/>
    </row>
    <row r="37" spans="1:23" s="2853" customFormat="1" ht="13.15" customHeight="1">
      <c r="A37" s="2931"/>
      <c r="B37" s="2932"/>
      <c r="C37" s="2932"/>
      <c r="D37" s="2932"/>
      <c r="E37" s="2932"/>
      <c r="F37" s="2936"/>
      <c r="G37" s="2930"/>
      <c r="H37" s="2848"/>
      <c r="I37" s="2849"/>
      <c r="J37" s="3877"/>
      <c r="K37" s="3879"/>
      <c r="L37" s="2883"/>
      <c r="M37" s="2884"/>
      <c r="N37" s="2860"/>
      <c r="O37" s="2885"/>
      <c r="P37" s="2885"/>
      <c r="Q37" s="2886"/>
      <c r="R37" s="2887"/>
      <c r="S37" s="2922"/>
      <c r="T37" s="2841" t="s">
        <v>2346</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877"/>
      <c r="K38" s="3879"/>
      <c r="L38" s="2883"/>
      <c r="M38" s="2884"/>
      <c r="N38" s="2860"/>
      <c r="O38" s="2885"/>
      <c r="P38" s="2885"/>
      <c r="Q38" s="2886"/>
      <c r="R38" s="2887"/>
      <c r="S38" s="2922"/>
      <c r="T38" s="2841" t="s">
        <v>2353</v>
      </c>
      <c r="U38" s="2841"/>
      <c r="V38" s="2849"/>
    </row>
    <row r="39" spans="1:23" s="2853" customFormat="1" ht="13.15" customHeight="1">
      <c r="A39" s="2931">
        <v>9</v>
      </c>
      <c r="B39" s="2932" t="s">
        <v>2431</v>
      </c>
      <c r="C39" s="2897" t="e">
        <f>C38</f>
        <v>#DIV/0!</v>
      </c>
      <c r="D39" s="2932">
        <f>D38/(1+D34)^C36</f>
        <v>0</v>
      </c>
      <c r="E39" s="2932">
        <f>E38/(1+E34)^(C36+D36)</f>
        <v>0</v>
      </c>
      <c r="F39" s="2936"/>
      <c r="G39" s="2991"/>
      <c r="H39" s="2848"/>
      <c r="I39" s="2849"/>
      <c r="J39" s="3877"/>
      <c r="K39" s="3879"/>
      <c r="L39" s="2883"/>
      <c r="M39" s="2884"/>
      <c r="N39" s="2860"/>
      <c r="O39" s="2885"/>
      <c r="P39" s="2885"/>
      <c r="Q39" s="2886"/>
      <c r="R39" s="2887"/>
      <c r="S39" s="2922"/>
      <c r="T39" s="2841"/>
      <c r="U39" s="2841"/>
      <c r="V39" s="2849"/>
    </row>
    <row r="40" spans="1:23" s="2853" customFormat="1" ht="13.15" customHeight="1">
      <c r="A40" s="2992">
        <v>10</v>
      </c>
      <c r="B40" s="2932" t="s">
        <v>2432</v>
      </c>
      <c r="C40" s="2993" t="e">
        <f>C39+D39+E39</f>
        <v>#DIV/0!</v>
      </c>
      <c r="D40" s="2994"/>
      <c r="E40" s="2994"/>
      <c r="F40" s="2995"/>
      <c r="G40" s="2930"/>
      <c r="H40" s="2848"/>
      <c r="I40" s="2849"/>
      <c r="J40" s="3877"/>
      <c r="K40" s="3880"/>
      <c r="L40" s="2903" t="s">
        <v>2371</v>
      </c>
      <c r="M40" s="2904"/>
      <c r="N40" s="2904"/>
      <c r="O40" s="2905"/>
      <c r="P40" s="2905"/>
      <c r="Q40" s="2906"/>
      <c r="R40" s="2852">
        <f>SUM(R37:R39)</f>
        <v>0</v>
      </c>
      <c r="S40" s="2922"/>
      <c r="T40" s="2841"/>
      <c r="U40" s="2841"/>
      <c r="V40" s="2849"/>
    </row>
    <row r="41" spans="1:23" s="2853" customFormat="1" ht="13.15" customHeight="1" thickBot="1">
      <c r="A41" s="2996">
        <v>11</v>
      </c>
      <c r="B41" s="2997" t="s">
        <v>2433</v>
      </c>
      <c r="C41" s="2997" t="e">
        <f>ROUND(C40*10000/B4,0)</f>
        <v>#DIV/0!</v>
      </c>
      <c r="D41" s="2998"/>
      <c r="E41" s="2998"/>
      <c r="F41" s="2999"/>
      <c r="G41" s="3000"/>
      <c r="H41" s="2848"/>
      <c r="I41" s="2849"/>
      <c r="J41" s="2944">
        <v>2</v>
      </c>
      <c r="K41" s="2945" t="s">
        <v>2411</v>
      </c>
      <c r="L41" s="2946"/>
      <c r="M41" s="2946"/>
      <c r="N41" s="2946"/>
      <c r="O41" s="2946"/>
      <c r="P41" s="2947"/>
      <c r="Q41" s="2948"/>
      <c r="R41" s="2919">
        <f>ROUND(R40*Q41,0)</f>
        <v>0</v>
      </c>
      <c r="S41" s="2922"/>
      <c r="T41" s="2841"/>
      <c r="U41" s="2956"/>
      <c r="V41" s="2849"/>
    </row>
    <row r="42" spans="1:23" s="2853" customFormat="1" ht="13.15" customHeight="1">
      <c r="G42" s="3000"/>
      <c r="H42" s="2848"/>
      <c r="I42" s="2849"/>
      <c r="J42" s="3881">
        <v>3</v>
      </c>
      <c r="K42" s="2951" t="s">
        <v>2413</v>
      </c>
      <c r="L42" s="2952"/>
      <c r="M42" s="2953"/>
      <c r="N42" s="2954" t="s">
        <v>2414</v>
      </c>
      <c r="O42" s="2954" t="s">
        <v>2415</v>
      </c>
      <c r="P42" s="2955" t="s">
        <v>2416</v>
      </c>
      <c r="Q42" s="2955" t="s">
        <v>2417</v>
      </c>
      <c r="R42" s="2858" t="s">
        <v>2342</v>
      </c>
      <c r="S42" s="2956"/>
      <c r="T42" s="2956"/>
      <c r="U42" s="2841"/>
      <c r="V42" s="2849"/>
    </row>
    <row r="43" spans="1:23" ht="13.15" customHeight="1">
      <c r="A43" s="2853"/>
      <c r="B43" s="2853"/>
      <c r="C43" s="2853"/>
      <c r="D43" s="2853"/>
      <c r="E43" s="2853"/>
      <c r="F43" s="2853"/>
      <c r="I43" s="2836"/>
      <c r="J43" s="3882"/>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2420</v>
      </c>
      <c r="L44" s="3004" t="s">
        <v>2421</v>
      </c>
      <c r="M44" s="2967"/>
      <c r="N44" s="3004" t="s">
        <v>2422</v>
      </c>
      <c r="O44" s="2967"/>
      <c r="P44" s="3004" t="s">
        <v>2423</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H23" sqref="H2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875</v>
      </c>
      <c r="B1" s="713"/>
      <c r="C1" s="1379" t="s">
        <v>671</v>
      </c>
      <c r="D1" s="1362" t="s">
        <v>43</v>
      </c>
      <c r="E1" s="1363" t="s">
        <v>676</v>
      </c>
      <c r="F1" s="1062" t="e">
        <f ca="1">J53</f>
        <v>#N/A</v>
      </c>
      <c r="G1" s="1378" t="e">
        <f>MATCH(C1,'数据-取费表'!A6:A16,0)+5</f>
        <v>#N/A</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802</v>
      </c>
      <c r="B2" s="1386" t="e">
        <f ca="1">C40+J29+L46</f>
        <v>#N/A</v>
      </c>
      <c r="C2" s="1387" t="s">
        <v>803</v>
      </c>
      <c r="D2" s="1387"/>
      <c r="E2" s="1388"/>
      <c r="F2" s="1389"/>
      <c r="G2" s="2706"/>
      <c r="H2" s="2695"/>
      <c r="I2" s="2695"/>
      <c r="J2" s="2695"/>
      <c r="K2" s="2696"/>
      <c r="L2" s="2695"/>
      <c r="M2" s="2695"/>
    </row>
    <row r="3" spans="1:37" ht="18" customHeight="1" thickBot="1">
      <c r="A3" s="1390" t="s">
        <v>804</v>
      </c>
      <c r="B3" s="1391">
        <f ca="1">IF(ISERROR(B2*10000/F43),0,ROUND(B2*10000/F43,0))</f>
        <v>0</v>
      </c>
      <c r="C3" s="1387" t="s">
        <v>805</v>
      </c>
      <c r="D3" s="1387"/>
      <c r="E3" s="1388"/>
      <c r="F3" s="1389"/>
      <c r="G3" s="2706"/>
      <c r="H3" s="683" t="s">
        <v>874</v>
      </c>
      <c r="I3" s="1382"/>
      <c r="J3" s="1382"/>
      <c r="K3" s="1383"/>
      <c r="L3" s="1382"/>
      <c r="M3" s="1382"/>
    </row>
    <row r="4" spans="1:37" ht="18" customHeight="1">
      <c r="A4" s="295" t="s">
        <v>685</v>
      </c>
      <c r="B4" s="296" t="s">
        <v>686</v>
      </c>
      <c r="C4" s="296" t="s">
        <v>687</v>
      </c>
      <c r="D4" s="296" t="s">
        <v>688</v>
      </c>
      <c r="E4" s="297" t="s">
        <v>689</v>
      </c>
      <c r="F4" s="298"/>
      <c r="G4" s="1384"/>
      <c r="H4" s="295" t="s">
        <v>685</v>
      </c>
      <c r="I4" s="296" t="s">
        <v>686</v>
      </c>
      <c r="J4" s="296" t="s">
        <v>687</v>
      </c>
      <c r="K4" s="296" t="s">
        <v>688</v>
      </c>
      <c r="L4" s="297" t="s">
        <v>689</v>
      </c>
      <c r="M4" s="298"/>
    </row>
    <row r="5" spans="1:37" ht="18" customHeight="1">
      <c r="A5" s="299">
        <v>1</v>
      </c>
      <c r="B5" s="300" t="s">
        <v>690</v>
      </c>
      <c r="C5" s="1070" t="e">
        <f ca="1">C6+C10+C12</f>
        <v>#N/A</v>
      </c>
      <c r="D5" s="1364" t="s">
        <v>691</v>
      </c>
      <c r="E5" s="1071"/>
      <c r="F5" s="1072"/>
      <c r="G5" s="1384"/>
      <c r="H5" s="299">
        <v>1</v>
      </c>
      <c r="I5" s="300" t="s">
        <v>690</v>
      </c>
      <c r="J5" s="1070" t="e">
        <f ca="1">J6+J10+J12</f>
        <v>#N/A</v>
      </c>
      <c r="K5" s="1364" t="s">
        <v>691</v>
      </c>
      <c r="L5" s="1071"/>
      <c r="M5" s="1072"/>
    </row>
    <row r="6" spans="1:37" ht="18" customHeight="1">
      <c r="A6" s="1069" t="s">
        <v>398</v>
      </c>
      <c r="B6" s="3874" t="s">
        <v>692</v>
      </c>
      <c r="C6" s="1074" t="e">
        <f ca="1">ROUND(F6*F8*F7*(1-F9)/10000,0)</f>
        <v>#N/A</v>
      </c>
      <c r="D6" s="155" t="s">
        <v>2106</v>
      </c>
      <c r="E6" s="302" t="s">
        <v>694</v>
      </c>
      <c r="F6" s="303" t="e">
        <f ca="1">INDIRECT("'数据-取费表'!u"&amp;$G$1)</f>
        <v>#N/A</v>
      </c>
      <c r="G6" s="1384"/>
      <c r="H6" s="1069" t="s">
        <v>398</v>
      </c>
      <c r="I6" s="3874" t="s">
        <v>692</v>
      </c>
      <c r="J6" s="301" t="e">
        <f ca="1">ROUND(M6*M8*M7*(1-M9)/10000,0)</f>
        <v>#N/A</v>
      </c>
      <c r="K6" s="155" t="s">
        <v>2105</v>
      </c>
      <c r="L6" s="302" t="s">
        <v>694</v>
      </c>
      <c r="M6" s="303" t="e">
        <f ca="1">INDIRECT("'数据-取费表'!z"&amp;$G$1)</f>
        <v>#N/A</v>
      </c>
    </row>
    <row r="7" spans="1:37" ht="18" customHeight="1">
      <c r="A7" s="1073"/>
      <c r="B7" s="3875"/>
      <c r="C7" s="1075"/>
      <c r="D7" s="307"/>
      <c r="E7" s="3455" t="s">
        <v>695</v>
      </c>
      <c r="F7" s="303" t="e">
        <f ca="1">IF(INDIRECT("'数据-取费表'!ah"&amp;$G$1)="",INDIRECT("'数据-取费表'!k"&amp;$G$1),INDIRECT("'数据-取费表'!ah"&amp;$G$1))</f>
        <v>#N/A</v>
      </c>
      <c r="G7" s="1384"/>
      <c r="H7" s="304"/>
      <c r="I7" s="3875"/>
      <c r="J7" s="306"/>
      <c r="K7" s="307"/>
      <c r="L7" s="302" t="s">
        <v>695</v>
      </c>
      <c r="M7" s="303" t="e">
        <f ca="1">F7</f>
        <v>#N/A</v>
      </c>
    </row>
    <row r="8" spans="1:37" ht="18" customHeight="1">
      <c r="A8" s="304"/>
      <c r="B8" s="3875"/>
      <c r="C8" s="306"/>
      <c r="D8" s="307"/>
      <c r="E8" s="302" t="s">
        <v>696</v>
      </c>
      <c r="F8" s="303" t="e">
        <f ca="1">INDIRECT("'数据-取费表'!ai"&amp;$G$1)</f>
        <v>#N/A</v>
      </c>
      <c r="G8" s="1384"/>
      <c r="H8" s="304"/>
      <c r="I8" s="3875"/>
      <c r="J8" s="306"/>
      <c r="K8" s="307"/>
      <c r="L8" s="302" t="s">
        <v>696</v>
      </c>
      <c r="M8" s="303" t="e">
        <f ca="1">INDIRECT("'数据-取费表'!ai"&amp;$G$1)</f>
        <v>#N/A</v>
      </c>
    </row>
    <row r="9" spans="1:37" ht="18" customHeight="1">
      <c r="A9" s="304"/>
      <c r="B9" s="3876"/>
      <c r="C9" s="306"/>
      <c r="D9" s="307"/>
      <c r="E9" s="302" t="s">
        <v>697</v>
      </c>
      <c r="F9" s="312" t="e">
        <f ca="1">INDIRECT("'数据-取费表'!w"&amp;$G$1)</f>
        <v>#N/A</v>
      </c>
      <c r="G9" s="1384"/>
      <c r="H9" s="304"/>
      <c r="I9" s="3876"/>
      <c r="J9" s="306"/>
      <c r="K9" s="307"/>
      <c r="L9" s="313" t="s">
        <v>697</v>
      </c>
      <c r="M9" s="314" t="e">
        <f ca="1">INDIRECT("'数据-取费表'!ab"&amp;$G$1)</f>
        <v>#N/A</v>
      </c>
    </row>
    <row r="10" spans="1:37" ht="18" customHeight="1">
      <c r="A10" s="1069" t="s">
        <v>402</v>
      </c>
      <c r="B10" s="1365" t="s">
        <v>698</v>
      </c>
      <c r="C10" s="316" t="e">
        <f ca="1">ROUND(IF(F10="押一",C6/12*F11,IF(F10="押二",C6/12*2*F11,IF(F10="押三",C6/12*3*F11,C11*F11))),0)</f>
        <v>#N/A</v>
      </c>
      <c r="D10" s="1366" t="s">
        <v>2113</v>
      </c>
      <c r="E10" s="313" t="s">
        <v>699</v>
      </c>
      <c r="F10" s="1116" t="s">
        <v>3544</v>
      </c>
      <c r="G10" s="1384"/>
      <c r="H10" s="1069" t="s">
        <v>402</v>
      </c>
      <c r="I10" s="1365" t="s">
        <v>698</v>
      </c>
      <c r="J10" s="301">
        <f ca="1">ROUND(IF(M10="押一",J6/12*M11,IF(M10="押二",J6/12*2*M11,IF(M10="押三",J6/12*3*M11,J11*M11))),0)</f>
        <v>0</v>
      </c>
      <c r="K10" s="1366" t="s">
        <v>2113</v>
      </c>
      <c r="L10" s="313" t="s">
        <v>699</v>
      </c>
      <c r="M10" s="1116"/>
    </row>
    <row r="11" spans="1:37" ht="18" customHeight="1">
      <c r="A11" s="308"/>
      <c r="B11" s="1367" t="s">
        <v>677</v>
      </c>
      <c r="C11" s="959"/>
      <c r="D11" s="1368"/>
      <c r="E11" s="313" t="s">
        <v>700</v>
      </c>
      <c r="F11" s="314">
        <f ca="1">'数据-取费表'!B39</f>
        <v>1.4999999999999999E-2</v>
      </c>
      <c r="G11" s="1384"/>
      <c r="H11" s="1077"/>
      <c r="I11" s="1367" t="s">
        <v>677</v>
      </c>
      <c r="J11" s="959"/>
      <c r="K11" s="684"/>
      <c r="L11" s="313" t="s">
        <v>700</v>
      </c>
      <c r="M11" s="862">
        <f ca="1">'数据-取费表'!B39</f>
        <v>1.4999999999999999E-2</v>
      </c>
    </row>
    <row r="12" spans="1:37" ht="18" customHeight="1" thickBot="1">
      <c r="A12" s="1083" t="s">
        <v>437</v>
      </c>
      <c r="B12" s="1369" t="s">
        <v>701</v>
      </c>
      <c r="C12" s="1084"/>
      <c r="D12" s="1085"/>
      <c r="E12" s="1090"/>
      <c r="F12" s="1086"/>
      <c r="G12" s="1384"/>
      <c r="H12" s="1083" t="s">
        <v>437</v>
      </c>
      <c r="I12" s="1369" t="s">
        <v>701</v>
      </c>
      <c r="J12" s="1084"/>
      <c r="K12" s="1098"/>
      <c r="L12" s="1090"/>
      <c r="M12" s="1099"/>
    </row>
    <row r="13" spans="1:37" ht="18" customHeight="1" thickTop="1">
      <c r="A13" s="1079">
        <v>2</v>
      </c>
      <c r="B13" s="1080" t="s">
        <v>702</v>
      </c>
      <c r="C13" s="310" t="e">
        <f ca="1">ROUND(C29*F13,0)</f>
        <v>#N/A</v>
      </c>
      <c r="D13" s="3449" t="s">
        <v>703</v>
      </c>
      <c r="E13" s="3449" t="s">
        <v>704</v>
      </c>
      <c r="F13" s="1082" t="e">
        <f ca="1">INDIRECT("'数据-取费表'!y"&amp;$G$1)</f>
        <v>#N/A</v>
      </c>
      <c r="G13" s="1384"/>
      <c r="H13" s="1079">
        <v>2</v>
      </c>
      <c r="I13" s="1080" t="s">
        <v>702</v>
      </c>
      <c r="J13" s="1068" t="e">
        <f ca="1">ROUND(J14*J15,0)</f>
        <v>#N/A</v>
      </c>
      <c r="K13" s="1087" t="s">
        <v>703</v>
      </c>
      <c r="L13" s="1392"/>
      <c r="M13" s="1393"/>
    </row>
    <row r="14" spans="1:37" ht="18" customHeight="1">
      <c r="A14" s="982" t="s">
        <v>397</v>
      </c>
      <c r="B14" s="302" t="s">
        <v>705</v>
      </c>
      <c r="C14" s="318" t="e">
        <f ca="1">INDIRECT("'数据-取费表'!m"&amp;$G$1)+INDIRECT("'数据-取费表'!t"&amp;$G$1)</f>
        <v>#N/A</v>
      </c>
      <c r="D14" s="3465" t="s">
        <v>706</v>
      </c>
      <c r="E14" s="3464"/>
      <c r="F14" s="319"/>
      <c r="G14" s="1384"/>
      <c r="H14" s="982" t="s">
        <v>398</v>
      </c>
      <c r="I14" s="302" t="s">
        <v>707</v>
      </c>
      <c r="J14" s="21" t="e">
        <f ca="1">C29</f>
        <v>#N/A</v>
      </c>
      <c r="K14" s="3453"/>
      <c r="L14" s="807"/>
      <c r="M14" s="808"/>
    </row>
    <row r="15" spans="1:37" s="1397" customFormat="1" ht="18" customHeight="1" thickBot="1">
      <c r="A15" s="982" t="s">
        <v>399</v>
      </c>
      <c r="B15" s="302" t="s">
        <v>708</v>
      </c>
      <c r="C15" s="21" t="e">
        <f ca="1">ROUND(C14*F15,0)</f>
        <v>#N/A</v>
      </c>
      <c r="D15" s="3450" t="s">
        <v>709</v>
      </c>
      <c r="E15" s="3450" t="s">
        <v>710</v>
      </c>
      <c r="F15" s="321">
        <f>'数据-取费表'!B33</f>
        <v>0.05</v>
      </c>
      <c r="G15" s="1396"/>
      <c r="H15" s="1089" t="s">
        <v>402</v>
      </c>
      <c r="I15" s="1090" t="s">
        <v>704</v>
      </c>
      <c r="J15" s="1099" t="e">
        <f ca="1">INDIRECT("'数据-取费表'!ad"&amp;$G$1)</f>
        <v>#N/A</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678</v>
      </c>
      <c r="B16" s="302" t="s">
        <v>711</v>
      </c>
      <c r="C16" s="21" t="e">
        <f ca="1">ROUND(INDIRECT("'数据-取费表'!m"&amp;$G$1)*F16,0)</f>
        <v>#N/A</v>
      </c>
      <c r="D16" s="302" t="s">
        <v>709</v>
      </c>
      <c r="E16" s="302" t="s">
        <v>710</v>
      </c>
      <c r="F16" s="322" t="e">
        <f ca="1">IF(INDIRECT("'数据-取费表'!c"&amp;$G$1)="住宅",'数据-取费表'!B34,0)</f>
        <v>#N/A</v>
      </c>
      <c r="G16" s="1384"/>
      <c r="H16" s="1079" t="s">
        <v>393</v>
      </c>
      <c r="I16" s="1080" t="s">
        <v>712</v>
      </c>
      <c r="J16" s="310" t="e">
        <f ca="1">ROUND(J17+J22+J23+J24,0)</f>
        <v>#N/A</v>
      </c>
      <c r="K16" s="1087" t="s">
        <v>713</v>
      </c>
      <c r="L16" s="3469"/>
      <c r="M16" s="1072"/>
    </row>
    <row r="17" spans="1:37" s="1397" customFormat="1" ht="18" customHeight="1">
      <c r="A17" s="982" t="s">
        <v>679</v>
      </c>
      <c r="B17" s="302" t="s">
        <v>714</v>
      </c>
      <c r="C17" s="21" t="e">
        <f ca="1">ROUND(F17*(F43+INDIRECT("'数据-取费表'!S"&amp;$G$1))/10000,0)</f>
        <v>#N/A</v>
      </c>
      <c r="D17" s="302" t="s">
        <v>715</v>
      </c>
      <c r="E17" s="302" t="s">
        <v>716</v>
      </c>
      <c r="F17" s="23">
        <f>'数据-取费表'!B35</f>
        <v>200</v>
      </c>
      <c r="G17" s="1396"/>
      <c r="H17" s="982" t="s">
        <v>398</v>
      </c>
      <c r="I17" s="302" t="s">
        <v>717</v>
      </c>
      <c r="J17" s="2316" t="e">
        <f ca="1">ROUND(IF(AND(项目基本情况!B11="自然人",项目基本情况!B10="北京市"),J6*M17/(1+'数据-取费表'!C42),J18+J19+J20),2)</f>
        <v>#N/A</v>
      </c>
      <c r="K17" s="3465" t="s">
        <v>718</v>
      </c>
      <c r="L17" s="3468" t="s">
        <v>719</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680</v>
      </c>
      <c r="B18" s="302" t="s">
        <v>720</v>
      </c>
      <c r="C18" s="21" t="e">
        <f ca="1">ROUND(C14*F18,0)</f>
        <v>#N/A</v>
      </c>
      <c r="D18" s="302" t="s">
        <v>709</v>
      </c>
      <c r="E18" s="302" t="s">
        <v>710</v>
      </c>
      <c r="F18" s="322">
        <f>'数据-取费表'!B36</f>
        <v>0.02</v>
      </c>
      <c r="G18" s="1396"/>
      <c r="H18" s="982" t="s">
        <v>397</v>
      </c>
      <c r="I18" s="302" t="s">
        <v>721</v>
      </c>
      <c r="J18" s="21" t="e">
        <f ca="1">ROUND(J6*M18/(1+'数据-取费表'!C42),2)</f>
        <v>#N/A</v>
      </c>
      <c r="K18" s="3468" t="s">
        <v>722</v>
      </c>
      <c r="L18" s="302" t="s">
        <v>710</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723</v>
      </c>
      <c r="C19" s="21" t="e">
        <f ca="1">SUM(C14:C18)</f>
        <v>#N/A</v>
      </c>
      <c r="D19" s="131" t="s">
        <v>724</v>
      </c>
      <c r="E19" s="3472"/>
      <c r="F19" s="23"/>
      <c r="G19" s="1384"/>
      <c r="H19" s="982" t="s">
        <v>399</v>
      </c>
      <c r="I19" s="302" t="s">
        <v>725</v>
      </c>
      <c r="J19" s="21" t="e">
        <f ca="1">IF(K19="按租金收入计税",ROUND(J6*M19/(1+'数据-取费表'!C42),2),ROUND(C29*M19*0.7,2))</f>
        <v>#N/A</v>
      </c>
      <c r="K19" s="1370" t="s">
        <v>3337</v>
      </c>
      <c r="L19" s="302" t="s">
        <v>710</v>
      </c>
      <c r="M19" s="322">
        <f>IF(K19="按租金收入计税",'数据-取费表'!B51,'数据-取费表'!B50)</f>
        <v>0.12</v>
      </c>
    </row>
    <row r="20" spans="1:37" s="1397" customFormat="1" ht="18" customHeight="1">
      <c r="A20" s="982" t="s">
        <v>402</v>
      </c>
      <c r="B20" s="302" t="s">
        <v>726</v>
      </c>
      <c r="C20" s="21" t="e">
        <f ca="1">ROUND(C19*F20,0)</f>
        <v>#N/A</v>
      </c>
      <c r="D20" s="2428" t="s">
        <v>727</v>
      </c>
      <c r="E20" s="302" t="s">
        <v>710</v>
      </c>
      <c r="F20" s="322">
        <f>'数据-取费表'!B37</f>
        <v>0.02</v>
      </c>
      <c r="G20" s="1396"/>
      <c r="H20" s="982" t="s">
        <v>678</v>
      </c>
      <c r="I20" s="155" t="s">
        <v>728</v>
      </c>
      <c r="J20" s="22" t="e">
        <f ca="1">ROUND(M20*M21/10000,2)</f>
        <v>#N/A</v>
      </c>
      <c r="K20" s="324" t="s">
        <v>729</v>
      </c>
      <c r="L20" s="302" t="s">
        <v>730</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731</v>
      </c>
      <c r="C21" s="21" t="s">
        <v>15</v>
      </c>
      <c r="D21" s="2428" t="s">
        <v>732</v>
      </c>
      <c r="E21" s="302" t="s">
        <v>733</v>
      </c>
      <c r="F21" s="322">
        <f>'数据-取费表'!B38</f>
        <v>0.02</v>
      </c>
      <c r="G21" s="1396"/>
      <c r="H21" s="326"/>
      <c r="I21" s="311"/>
      <c r="J21" s="26"/>
      <c r="K21" s="327"/>
      <c r="L21" s="302" t="s">
        <v>734</v>
      </c>
      <c r="M21" s="303" t="e">
        <f ca="1">INDIRECT("'数据-取费表'!r"&amp;$G$1)</f>
        <v>#N/A</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681</v>
      </c>
      <c r="B22" s="302" t="s">
        <v>735</v>
      </c>
      <c r="C22" s="21"/>
      <c r="D22" s="131" t="str">
        <f>IF(F23&lt;=1,"单利计息。","复利计息。")&amp;"建造成本、管理费用、销售费用产生的利息。"</f>
        <v>复利计息。建造成本、管理费用、销售费用产生的利息。</v>
      </c>
      <c r="E22" s="3472"/>
      <c r="F22" s="23"/>
      <c r="G22" s="1384"/>
      <c r="H22" s="982" t="s">
        <v>402</v>
      </c>
      <c r="I22" s="302" t="s">
        <v>736</v>
      </c>
      <c r="J22" s="21" t="e">
        <f ca="1">ROUND(J14*M22,2)</f>
        <v>#N/A</v>
      </c>
      <c r="K22" s="3468" t="s">
        <v>737</v>
      </c>
      <c r="L22" s="302" t="s">
        <v>710</v>
      </c>
      <c r="M22" s="328" t="e">
        <f ca="1">INDIRECT("'数据-取费表'!Ak"&amp;$G$1)</f>
        <v>#N/A</v>
      </c>
    </row>
    <row r="23" spans="1:37" s="1397" customFormat="1" ht="18" customHeight="1">
      <c r="A23" s="982" t="s">
        <v>397</v>
      </c>
      <c r="B23" s="302" t="s">
        <v>738</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739</v>
      </c>
      <c r="F23" s="325">
        <f>'数据-取费表'!B20</f>
        <v>2</v>
      </c>
      <c r="G23" s="1396"/>
      <c r="H23" s="982" t="s">
        <v>437</v>
      </c>
      <c r="I23" s="302" t="s">
        <v>740</v>
      </c>
      <c r="J23" s="21" t="e">
        <f ca="1">ROUND(J13*M23,2)</f>
        <v>#N/A</v>
      </c>
      <c r="K23" s="3468" t="s">
        <v>741</v>
      </c>
      <c r="L23" s="302" t="s">
        <v>710</v>
      </c>
      <c r="M23" s="330" t="e">
        <f ca="1">INDIRECT("'数据-取费表'!Al"&amp;$G$1)</f>
        <v>#N/A</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3.4500000000000003E-2</v>
      </c>
      <c r="G24" s="1396"/>
      <c r="H24" s="1089" t="s">
        <v>681</v>
      </c>
      <c r="I24" s="1090" t="s">
        <v>726</v>
      </c>
      <c r="J24" s="1091" t="e">
        <f ca="1">ROUND(J5*M24,2)</f>
        <v>#N/A</v>
      </c>
      <c r="K24" s="1092" t="s">
        <v>746</v>
      </c>
      <c r="L24" s="1090" t="s">
        <v>710</v>
      </c>
      <c r="M24" s="1086" t="e">
        <f ca="1">INDIRECT("'数据-取费表'!Am"&amp;$G$1)</f>
        <v>#N/A</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747</v>
      </c>
      <c r="B25" s="302" t="s">
        <v>748</v>
      </c>
      <c r="C25" s="21"/>
      <c r="D25" s="131" t="s">
        <v>749</v>
      </c>
      <c r="E25" s="3472"/>
      <c r="F25" s="23"/>
      <c r="G25" s="1384"/>
      <c r="H25" s="1079" t="s">
        <v>394</v>
      </c>
      <c r="I25" s="1094" t="s">
        <v>750</v>
      </c>
      <c r="J25" s="310" t="e">
        <f ca="1">J5-J16</f>
        <v>#N/A</v>
      </c>
      <c r="K25" s="1095" t="s">
        <v>751</v>
      </c>
      <c r="L25" s="1096"/>
      <c r="M25" s="1097"/>
    </row>
    <row r="26" spans="1:37">
      <c r="A26" s="982" t="s">
        <v>397</v>
      </c>
      <c r="B26" s="302" t="s">
        <v>752</v>
      </c>
      <c r="C26" s="21" t="e">
        <f ca="1">ROUND((C19+C20)*F26,0)</f>
        <v>#N/A</v>
      </c>
      <c r="D26" s="2428" t="s">
        <v>753</v>
      </c>
      <c r="E26" s="313" t="s">
        <v>754</v>
      </c>
      <c r="F26" s="312" t="e">
        <f ca="1">INDIRECT("'数据-取费表'!q"&amp;$G$1)</f>
        <v>#N/A</v>
      </c>
      <c r="G26" s="1384"/>
      <c r="H26" s="299" t="s">
        <v>395</v>
      </c>
      <c r="I26" s="300" t="s">
        <v>755</v>
      </c>
      <c r="J26" s="301" t="e">
        <f ca="1">IF(J5&lt;&gt;0,ROUND(J25*(1-((1+M28)/(1+M26))^M27)/(M26-M28),0),0)</f>
        <v>#N/A</v>
      </c>
      <c r="K26" s="324" t="s">
        <v>756</v>
      </c>
      <c r="L26" s="302" t="s">
        <v>757</v>
      </c>
      <c r="M26" s="312" t="e">
        <f ca="1">INDIRECT("'数据-取费表'!I"&amp;$G$1)</f>
        <v>#N/A</v>
      </c>
    </row>
    <row r="27" spans="1:37" ht="18" customHeight="1">
      <c r="A27" s="982" t="s">
        <v>399</v>
      </c>
      <c r="B27" s="302" t="s">
        <v>758</v>
      </c>
      <c r="C27" s="21" t="e">
        <f ca="1">ROUND(F21*F26,4)</f>
        <v>#N/A</v>
      </c>
      <c r="D27" s="2428" t="s">
        <v>759</v>
      </c>
      <c r="E27" s="3450"/>
      <c r="F27" s="321"/>
      <c r="G27" s="1384"/>
      <c r="H27" s="304"/>
      <c r="I27" s="305"/>
      <c r="J27" s="306"/>
      <c r="K27" s="332" t="s">
        <v>760</v>
      </c>
      <c r="L27" s="302" t="s">
        <v>761</v>
      </c>
      <c r="M27" s="333" t="e">
        <f ca="1">INDIRECT("'数据-取费表'!ag"&amp;$G$1)</f>
        <v>#N/A</v>
      </c>
    </row>
    <row r="28" spans="1:37" s="1397" customFormat="1" ht="18" customHeight="1">
      <c r="A28" s="982" t="s">
        <v>400</v>
      </c>
      <c r="B28" s="302" t="s">
        <v>762</v>
      </c>
      <c r="C28" s="21">
        <f>ROUND(F28/(1+'数据-取费表'!C42),4)</f>
        <v>5.33E-2</v>
      </c>
      <c r="D28" s="2428" t="s">
        <v>763</v>
      </c>
      <c r="E28" s="302" t="s">
        <v>710</v>
      </c>
      <c r="F28" s="322">
        <f>'数据-取费表'!B41</f>
        <v>5.6000000000000001E-2</v>
      </c>
      <c r="G28" s="1396"/>
      <c r="H28" s="308"/>
      <c r="I28" s="309"/>
      <c r="J28" s="310"/>
      <c r="K28" s="327"/>
      <c r="L28" s="302" t="s">
        <v>764</v>
      </c>
      <c r="M28" s="312" t="e">
        <f ca="1">INDIRECT("'数据-取费表'!aa"&amp;$G$1)</f>
        <v>#N/A</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765</v>
      </c>
      <c r="C29" s="1091" t="e">
        <f ca="1">ROUND((C19+C20+C23+C26)/(1-F21-C24-C27-C28),0)</f>
        <v>#N/A</v>
      </c>
      <c r="D29" s="1092"/>
      <c r="E29" s="1090"/>
      <c r="F29" s="1093"/>
      <c r="G29" s="1396"/>
      <c r="H29" s="334" t="s">
        <v>396</v>
      </c>
      <c r="I29" s="335" t="s">
        <v>766</v>
      </c>
      <c r="J29" s="336" t="e">
        <f ca="1">ROUND(J26/(1+F40)^F41,0)</f>
        <v>#N/A</v>
      </c>
      <c r="K29" s="337" t="s">
        <v>767</v>
      </c>
      <c r="L29" s="338"/>
      <c r="M29" s="339" t="e">
        <f ca="1">INDIRECT("'数据-取费表'!k"&amp;$G$1)</f>
        <v>#N/A</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712</v>
      </c>
      <c r="C30" s="310" t="e">
        <f ca="1">ROUND(C31+C36+C37+C38,0)</f>
        <v>#N/A</v>
      </c>
      <c r="D30" s="1087" t="s">
        <v>713</v>
      </c>
      <c r="E30" s="3469"/>
      <c r="F30" s="1072"/>
      <c r="G30" s="1384"/>
      <c r="H30" s="2697"/>
      <c r="I30" s="1398"/>
      <c r="J30" s="1399"/>
      <c r="K30" s="2475"/>
      <c r="L30" s="2698"/>
      <c r="M30" s="2699"/>
    </row>
    <row r="31" spans="1:37" ht="18" customHeight="1">
      <c r="A31" s="982" t="s">
        <v>398</v>
      </c>
      <c r="B31" s="302" t="s">
        <v>717</v>
      </c>
      <c r="C31" s="2316" t="e">
        <f ca="1">ROUND(IF(AND(项目基本情况!B11="自然人",项目基本情况!B10="北京市"),C6*F31/(1+'数据-取费表'!C42),C32+C33+C34),2)</f>
        <v>#N/A</v>
      </c>
      <c r="D31" s="3465" t="s">
        <v>718</v>
      </c>
      <c r="E31" s="3468" t="s">
        <v>768</v>
      </c>
      <c r="F31" s="2315" t="str">
        <f>IF(项目基本情况!B11="企业","——",IF(M47="住宅",IF(F6*F7*F8/12/(1+'数据-取费表'!F30)&gt;100000,4%,2.5%),IF(F6*F7*F8/12/(1+'数据-取费表'!F30)&gt;100000,12%,7%)))</f>
        <v>——</v>
      </c>
      <c r="G31" s="1384"/>
      <c r="H31" s="2808" t="s">
        <v>2307</v>
      </c>
      <c r="I31" s="1398"/>
      <c r="J31" s="1399"/>
      <c r="K31" s="2475"/>
      <c r="L31" s="2698"/>
      <c r="M31" s="2699"/>
    </row>
    <row r="32" spans="1:37" ht="18" customHeight="1">
      <c r="A32" s="982" t="s">
        <v>397</v>
      </c>
      <c r="B32" s="302" t="s">
        <v>721</v>
      </c>
      <c r="C32" s="21" t="e">
        <f ca="1">IF(项目基本情况!B11="自然人","——",ROUND(C6*F32/(1+'数据-取费表'!C42),2))</f>
        <v>#N/A</v>
      </c>
      <c r="D32" s="3468" t="s">
        <v>722</v>
      </c>
      <c r="E32" s="302" t="s">
        <v>710</v>
      </c>
      <c r="F32" s="331">
        <f>'数据-取费表'!B41</f>
        <v>5.6000000000000001E-2</v>
      </c>
      <c r="G32" s="1384"/>
      <c r="H32" s="2697"/>
      <c r="I32" s="1398"/>
      <c r="J32" s="1399"/>
      <c r="K32" s="2475"/>
      <c r="L32" s="2698"/>
      <c r="M32" s="2699"/>
    </row>
    <row r="33" spans="1:18" ht="18" customHeight="1">
      <c r="A33" s="982" t="s">
        <v>399</v>
      </c>
      <c r="B33" s="302" t="s">
        <v>725</v>
      </c>
      <c r="C33" s="21" t="e">
        <f ca="1">IF(项目基本情况!B11="自然人","——",IF(D33="按租金收入计税",ROUND(C6*F33/(1+'数据-取费表'!C42),2),IF(D33="按房产原值计税",ROUND(C29*F33*0.7,2),INDIRECT("'数据-取费表'!Aj"&amp;$G$1))))</f>
        <v>#N/A</v>
      </c>
      <c r="D33" s="1370" t="s">
        <v>3337</v>
      </c>
      <c r="E33" s="302" t="s">
        <v>710</v>
      </c>
      <c r="F33" s="322">
        <f>IF(D33="按票据","——",IF(D33="按租金收入计税",'数据-取费表'!B51,'数据-取费表'!B50))</f>
        <v>0.12</v>
      </c>
      <c r="G33" s="1384"/>
      <c r="H33" s="2700"/>
      <c r="I33" s="1398"/>
      <c r="J33" s="1399"/>
      <c r="K33" s="2701"/>
      <c r="L33" s="2700"/>
      <c r="M33" s="2700"/>
    </row>
    <row r="34" spans="1:18" ht="18" customHeight="1">
      <c r="A34" s="1069" t="s">
        <v>678</v>
      </c>
      <c r="B34" s="155" t="s">
        <v>728</v>
      </c>
      <c r="C34" s="22" t="e">
        <f ca="1">IF(项目基本情况!B11="自然人","——",ROUND(F34*F35/10000,2))</f>
        <v>#N/A</v>
      </c>
      <c r="D34" s="324" t="s">
        <v>729</v>
      </c>
      <c r="E34" s="302" t="s">
        <v>730</v>
      </c>
      <c r="F34" s="325">
        <f>'数据-取费表'!B52</f>
        <v>0</v>
      </c>
      <c r="G34" s="1384"/>
      <c r="H34" s="2697"/>
      <c r="I34" s="1398"/>
      <c r="J34" s="1399"/>
      <c r="K34" s="2702"/>
      <c r="L34" s="2703"/>
      <c r="M34" s="2703"/>
    </row>
    <row r="35" spans="1:18" ht="18" customHeight="1">
      <c r="A35" s="1103"/>
      <c r="B35" s="1101"/>
      <c r="C35" s="26"/>
      <c r="D35" s="327"/>
      <c r="E35" s="302" t="s">
        <v>734</v>
      </c>
      <c r="F35" s="303" t="e">
        <f ca="1">INDIRECT("'数据-取费表'!r"&amp;$G$1)</f>
        <v>#N/A</v>
      </c>
      <c r="G35" s="1384"/>
      <c r="H35" s="2697"/>
      <c r="I35" s="1398"/>
      <c r="J35" s="1399"/>
      <c r="K35" s="2701"/>
      <c r="L35" s="2700"/>
      <c r="M35" s="2700"/>
    </row>
    <row r="36" spans="1:18" ht="18" customHeight="1">
      <c r="A36" s="1102" t="s">
        <v>402</v>
      </c>
      <c r="B36" s="302" t="s">
        <v>736</v>
      </c>
      <c r="C36" s="21" t="e">
        <f ca="1">ROUND(C29*F36,2)</f>
        <v>#N/A</v>
      </c>
      <c r="D36" s="3468" t="s">
        <v>769</v>
      </c>
      <c r="E36" s="302" t="s">
        <v>710</v>
      </c>
      <c r="F36" s="328" t="e">
        <f ca="1">INDIRECT("'数据-取费表'!Ak"&amp;$G$1)</f>
        <v>#N/A</v>
      </c>
      <c r="G36" s="1384"/>
      <c r="H36" s="2700"/>
      <c r="I36" s="1398"/>
      <c r="J36" s="1399"/>
      <c r="K36" s="2544"/>
      <c r="L36" s="2700"/>
      <c r="M36" s="2700"/>
    </row>
    <row r="37" spans="1:18" ht="18" customHeight="1">
      <c r="A37" s="982" t="s">
        <v>437</v>
      </c>
      <c r="B37" s="302" t="s">
        <v>740</v>
      </c>
      <c r="C37" s="21" t="e">
        <f ca="1">ROUND(C13*F37,2)</f>
        <v>#N/A</v>
      </c>
      <c r="D37" s="3468" t="s">
        <v>741</v>
      </c>
      <c r="E37" s="302" t="s">
        <v>710</v>
      </c>
      <c r="F37" s="330" t="e">
        <f ca="1">INDIRECT("'数据-取费表'!Al"&amp;$G$1)</f>
        <v>#N/A</v>
      </c>
      <c r="G37" s="1384"/>
      <c r="H37" s="2700"/>
      <c r="I37" s="1398"/>
      <c r="J37" s="1399"/>
      <c r="K37" s="2544"/>
      <c r="L37" s="2700"/>
      <c r="M37" s="2700"/>
    </row>
    <row r="38" spans="1:18" ht="18" customHeight="1" thickBot="1">
      <c r="A38" s="1089" t="s">
        <v>681</v>
      </c>
      <c r="B38" s="1090" t="s">
        <v>726</v>
      </c>
      <c r="C38" s="1091" t="e">
        <f ca="1">ROUND(C5*F38,2)</f>
        <v>#N/A</v>
      </c>
      <c r="D38" s="1092" t="s">
        <v>746</v>
      </c>
      <c r="E38" s="1090" t="s">
        <v>710</v>
      </c>
      <c r="F38" s="1086" t="e">
        <f ca="1">INDIRECT("'数据-取费表'!Am"&amp;$G$1)</f>
        <v>#N/A</v>
      </c>
      <c r="G38" s="1384"/>
      <c r="H38" s="2700"/>
      <c r="I38" s="1398"/>
      <c r="J38" s="1399"/>
      <c r="K38" s="2704"/>
      <c r="L38" s="2700"/>
      <c r="M38" s="2700"/>
    </row>
    <row r="39" spans="1:18" ht="24.6" customHeight="1" thickTop="1">
      <c r="A39" s="1079" t="s">
        <v>394</v>
      </c>
      <c r="B39" s="1094" t="s">
        <v>750</v>
      </c>
      <c r="C39" s="310" t="e">
        <f ca="1">C5-C30</f>
        <v>#N/A</v>
      </c>
      <c r="D39" s="1095" t="s">
        <v>771</v>
      </c>
      <c r="E39" s="1096"/>
      <c r="F39" s="1097"/>
      <c r="G39" s="1384"/>
      <c r="H39" s="2700"/>
      <c r="I39" s="1398"/>
      <c r="J39" s="1399"/>
      <c r="K39" s="2704"/>
      <c r="L39" s="2700"/>
      <c r="M39" s="2700"/>
    </row>
    <row r="40" spans="1:18" ht="18" customHeight="1">
      <c r="A40" s="299" t="s">
        <v>395</v>
      </c>
      <c r="B40" s="300" t="s">
        <v>772</v>
      </c>
      <c r="C40" s="301" t="e">
        <f ca="1">ROUND(C39*(1-((1+F42)/(1+F40))^F41)/(F40-F42),0)</f>
        <v>#N/A</v>
      </c>
      <c r="D40" s="324" t="s">
        <v>756</v>
      </c>
      <c r="E40" s="302" t="s">
        <v>757</v>
      </c>
      <c r="F40" s="312" t="e">
        <f ca="1">INDIRECT("'数据-取费表'!I"&amp;$G$1)</f>
        <v>#N/A</v>
      </c>
      <c r="G40" s="1384"/>
      <c r="H40" s="1461"/>
      <c r="I40" s="1398"/>
      <c r="J40" s="1399"/>
      <c r="K40" s="2704"/>
      <c r="L40" s="1461"/>
      <c r="M40" s="1461"/>
    </row>
    <row r="41" spans="1:18" ht="18" customHeight="1">
      <c r="A41" s="304"/>
      <c r="B41" s="305"/>
      <c r="C41" s="306"/>
      <c r="D41" s="332" t="s">
        <v>773</v>
      </c>
      <c r="E41" s="302" t="s">
        <v>761</v>
      </c>
      <c r="F41" s="333" t="e">
        <f ca="1">IF(INDIRECT("'数据-取费表'!af"&amp;$G$1)=0,INDIRECT("'数据-取费表'!ae"&amp;$G$1),INDIRECT("'数据-取费表'!af"&amp;$G$1))</f>
        <v>#N/A</v>
      </c>
      <c r="G41" s="1384"/>
      <c r="H41" s="1191"/>
      <c r="I41" s="1398"/>
      <c r="J41" s="1399"/>
      <c r="K41" s="2544"/>
      <c r="L41" s="1191"/>
      <c r="M41" s="1191"/>
    </row>
    <row r="42" spans="1:18" ht="18" customHeight="1">
      <c r="A42" s="308"/>
      <c r="B42" s="309"/>
      <c r="C42" s="310"/>
      <c r="D42" s="327"/>
      <c r="E42" s="302" t="s">
        <v>764</v>
      </c>
      <c r="F42" s="312" t="e">
        <f ca="1">INDIRECT("'数据-取费表'!v"&amp;$G$1)</f>
        <v>#N/A</v>
      </c>
      <c r="G42" s="1384"/>
      <c r="H42" s="1191"/>
      <c r="I42" s="1398"/>
      <c r="J42" s="1399"/>
      <c r="K42" s="2544"/>
      <c r="L42" s="1191"/>
      <c r="M42" s="1191"/>
    </row>
    <row r="43" spans="1:18" ht="18" customHeight="1" thickBot="1">
      <c r="A43" s="334" t="s">
        <v>396</v>
      </c>
      <c r="B43" s="335" t="s">
        <v>774</v>
      </c>
      <c r="C43" s="336" t="e">
        <f ca="1">ROUND(C40*10000/F43,0)</f>
        <v>#N/A</v>
      </c>
      <c r="D43" s="337" t="s">
        <v>775</v>
      </c>
      <c r="E43" s="338" t="s">
        <v>776</v>
      </c>
      <c r="F43" s="339" t="e">
        <f ca="1">INDIRECT("'数据-取费表'!k"&amp;$G$1)</f>
        <v>#N/A</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806</v>
      </c>
      <c r="P45" s="1461"/>
      <c r="Q45" s="1461"/>
      <c r="R45" s="1461"/>
    </row>
    <row r="46" spans="1:18" s="1384" customFormat="1" ht="13.5" thickBot="1">
      <c r="A46" s="1404" t="s">
        <v>807</v>
      </c>
      <c r="C46" s="1405" t="e">
        <f ca="1">C68-C40</f>
        <v>#N/A</v>
      </c>
      <c r="D46" s="1406" t="str">
        <f>C2</f>
        <v>万元</v>
      </c>
      <c r="E46" s="1400"/>
      <c r="F46" s="1400"/>
      <c r="I46" s="1407" t="s">
        <v>808</v>
      </c>
      <c r="J46" s="1408"/>
      <c r="K46" s="1409"/>
      <c r="L46" s="1410" t="e">
        <f ca="1">IF(M47="住宅",0,IF(L48&gt;J51,L60,J60))</f>
        <v>#N/A</v>
      </c>
      <c r="O46" s="1411" t="s">
        <v>809</v>
      </c>
      <c r="P46" s="1412" t="s">
        <v>810</v>
      </c>
      <c r="Q46" s="1413" t="s">
        <v>811</v>
      </c>
      <c r="R46" s="1413" t="s">
        <v>812</v>
      </c>
    </row>
    <row r="47" spans="1:18" s="1384" customFormat="1" ht="13.5" thickBot="1">
      <c r="A47" s="946" t="s">
        <v>685</v>
      </c>
      <c r="B47" s="978" t="s">
        <v>686</v>
      </c>
      <c r="C47" s="1117" t="s">
        <v>687</v>
      </c>
      <c r="D47" s="978" t="s">
        <v>688</v>
      </c>
      <c r="E47" s="1058" t="s">
        <v>689</v>
      </c>
      <c r="F47" s="1059"/>
      <c r="G47" s="722"/>
      <c r="I47" s="1414" t="s">
        <v>813</v>
      </c>
      <c r="J47" s="1415" t="s">
        <v>3426</v>
      </c>
      <c r="K47" s="1416" t="s">
        <v>814</v>
      </c>
      <c r="L47" s="1417" t="e">
        <f ca="1">INDIRECT("'数据-取费表'!d"&amp;$G$1)</f>
        <v>#N/A</v>
      </c>
      <c r="M47" s="1380" t="str">
        <f>IF(ISNUMBER(FIND("住宅",C1)),"住宅","非住宅")</f>
        <v>非住宅</v>
      </c>
      <c r="O47" s="1418" t="s">
        <v>403</v>
      </c>
      <c r="P47" s="1419" t="s">
        <v>815</v>
      </c>
      <c r="Q47" s="1420" t="e">
        <f ca="1">C40+J29</f>
        <v>#N/A</v>
      </c>
      <c r="R47" s="1420" t="s">
        <v>816</v>
      </c>
    </row>
    <row r="48" spans="1:18" s="1384" customFormat="1" ht="28.5" thickBot="1">
      <c r="A48" s="1110" t="s">
        <v>438</v>
      </c>
      <c r="B48" s="300" t="s">
        <v>690</v>
      </c>
      <c r="C48" s="3471" t="e">
        <f ca="1">C49+C53+C55</f>
        <v>#N/A</v>
      </c>
      <c r="D48" s="1112"/>
      <c r="E48" s="1113"/>
      <c r="F48" s="962"/>
      <c r="G48" s="722"/>
      <c r="H48" s="723"/>
      <c r="I48" s="1421" t="s">
        <v>817</v>
      </c>
      <c r="J48" s="1422" t="s">
        <v>3545</v>
      </c>
      <c r="K48" s="1423" t="s">
        <v>818</v>
      </c>
      <c r="L48" s="1424" t="e">
        <f ca="1">INDIRECT("'数据-取费表'!f"&amp;$G$1)</f>
        <v>#N/A</v>
      </c>
      <c r="O48" s="1418" t="s">
        <v>404</v>
      </c>
      <c r="P48" s="1419" t="s">
        <v>819</v>
      </c>
      <c r="Q48" s="1420" t="e">
        <f ca="1">J60</f>
        <v>#N/A</v>
      </c>
      <c r="R48" s="1420" t="s">
        <v>820</v>
      </c>
    </row>
    <row r="49" spans="1:18" s="1384" customFormat="1" ht="13.5" thickBot="1">
      <c r="A49" s="975" t="s">
        <v>439</v>
      </c>
      <c r="B49" s="1371" t="s">
        <v>777</v>
      </c>
      <c r="C49" s="1114" t="e">
        <f ca="1">ROUND(F49*F51*F50*(1-F52)/10000,0)</f>
        <v>#N/A</v>
      </c>
      <c r="D49" s="1055" t="s">
        <v>2105</v>
      </c>
      <c r="E49" s="1372" t="s">
        <v>778</v>
      </c>
      <c r="F49" s="1060"/>
      <c r="G49" s="1425"/>
      <c r="H49" s="723"/>
      <c r="I49" s="1421" t="s">
        <v>821</v>
      </c>
      <c r="J49" s="1426">
        <v>1995</v>
      </c>
      <c r="K49" s="1423" t="s">
        <v>822</v>
      </c>
      <c r="L49" s="1427"/>
      <c r="O49" s="1428" t="s">
        <v>405</v>
      </c>
      <c r="P49" s="1419" t="s">
        <v>823</v>
      </c>
      <c r="Q49" s="1420" t="e">
        <f ca="1">C29</f>
        <v>#N/A</v>
      </c>
      <c r="R49" s="1420" t="s">
        <v>816</v>
      </c>
    </row>
    <row r="50" spans="1:18" s="1384" customFormat="1" ht="13.5" thickBot="1">
      <c r="A50" s="976"/>
      <c r="B50" s="979"/>
      <c r="C50" s="1118"/>
      <c r="D50" s="953"/>
      <c r="E50" s="1056" t="s">
        <v>695</v>
      </c>
      <c r="F50" s="1057" t="e">
        <f ca="1">F7</f>
        <v>#N/A</v>
      </c>
      <c r="H50" s="723"/>
      <c r="I50" s="1421" t="s">
        <v>824</v>
      </c>
      <c r="J50" s="1429">
        <f>SUMPRODUCT((I63:I65=J47)*(J62:L62=J48)*(J63:L65))</f>
        <v>60</v>
      </c>
      <c r="K50" s="1423" t="s">
        <v>825</v>
      </c>
      <c r="L50" s="1427"/>
      <c r="M50" s="1430"/>
      <c r="O50" s="1428" t="s">
        <v>406</v>
      </c>
      <c r="P50" s="1419" t="s">
        <v>826</v>
      </c>
      <c r="Q50" s="1431" t="e">
        <f ca="1">J58</f>
        <v>#N/A</v>
      </c>
      <c r="R50" s="1420"/>
    </row>
    <row r="51" spans="1:18" s="1384" customFormat="1" ht="13.5" thickBot="1">
      <c r="A51" s="977"/>
      <c r="B51" s="979"/>
      <c r="C51" s="980"/>
      <c r="D51" s="953"/>
      <c r="E51" s="981" t="s">
        <v>696</v>
      </c>
      <c r="F51" s="303" t="e">
        <f ca="1">F8</f>
        <v>#N/A</v>
      </c>
      <c r="I51" s="1432" t="s">
        <v>827</v>
      </c>
      <c r="J51" s="1433">
        <f>IF(J49="",J50,J49+J50-YEAR('数据-取费表'!B2))</f>
        <v>31</v>
      </c>
      <c r="K51" s="1434" t="s">
        <v>828</v>
      </c>
      <c r="L51" s="1435" t="e">
        <f ca="1">ROUND(-PV(INDIRECT("'数据-取费表'!h"&amp;$G$1),J51,(C39-C13*C76),0),0)</f>
        <v>#N/A</v>
      </c>
      <c r="M51" s="1436"/>
      <c r="O51" s="1428" t="s">
        <v>407</v>
      </c>
      <c r="P51" s="1419" t="s">
        <v>829</v>
      </c>
      <c r="Q51" s="1431">
        <f>J52</f>
        <v>7.4999999999999997E-2</v>
      </c>
      <c r="R51" s="1420"/>
    </row>
    <row r="52" spans="1:18" s="1384" customFormat="1" ht="13.5" thickBot="1">
      <c r="A52" s="977"/>
      <c r="B52" s="979"/>
      <c r="C52" s="980"/>
      <c r="D52" s="953"/>
      <c r="E52" s="981" t="s">
        <v>697</v>
      </c>
      <c r="F52" s="1054"/>
      <c r="I52" s="1437" t="s">
        <v>830</v>
      </c>
      <c r="J52" s="1438">
        <v>7.4999999999999997E-2</v>
      </c>
      <c r="K52" s="1437" t="s">
        <v>831</v>
      </c>
      <c r="L52" s="1438">
        <v>0.05</v>
      </c>
      <c r="O52" s="1428" t="s">
        <v>408</v>
      </c>
      <c r="P52" s="1419" t="s">
        <v>832</v>
      </c>
      <c r="Q52" s="1420" t="e">
        <f ca="1">J53</f>
        <v>#N/A</v>
      </c>
      <c r="R52" s="1420" t="s">
        <v>833</v>
      </c>
    </row>
    <row r="53" spans="1:18" s="1384" customFormat="1" ht="24.75" thickBot="1">
      <c r="A53" s="1152" t="s">
        <v>440</v>
      </c>
      <c r="B53" s="1373" t="s">
        <v>698</v>
      </c>
      <c r="C53" s="316">
        <f ca="1">ROUND(IF(F53="押一",C49/12*F11,IF(F53="押二",C49/12*2*F11,IF(F53="押三",C49/12*3*F11,C54*F11))),0)</f>
        <v>0</v>
      </c>
      <c r="D53" s="1366" t="s">
        <v>2113</v>
      </c>
      <c r="E53" s="313" t="s">
        <v>699</v>
      </c>
      <c r="F53" s="1116"/>
      <c r="I53" s="1439" t="s">
        <v>834</v>
      </c>
      <c r="J53" s="2168" t="e">
        <f ca="1">IF(M47="住宅",IF(D1="——",MAX(J51,L48),MAX(J51,L48-'数据-取费表'!B24)),IF(D1="——",MIN(J51,L48),MIN(J51,L48-'数据-取费表'!B24)))</f>
        <v>#N/A</v>
      </c>
      <c r="K53" s="3872" t="s">
        <v>835</v>
      </c>
      <c r="L53" s="3873"/>
      <c r="O53" s="1418" t="s">
        <v>409</v>
      </c>
      <c r="P53" s="1419" t="s">
        <v>836</v>
      </c>
      <c r="Q53" s="1420" t="e">
        <f ca="1">Q47+Q48</f>
        <v>#N/A</v>
      </c>
      <c r="R53" s="1420" t="s">
        <v>410</v>
      </c>
    </row>
    <row r="54" spans="1:18" s="1384" customFormat="1" ht="13.5" thickBot="1">
      <c r="A54" s="1153"/>
      <c r="B54" s="1367" t="s">
        <v>677</v>
      </c>
      <c r="C54" s="959"/>
      <c r="D54" s="1366"/>
      <c r="E54" s="3457"/>
      <c r="F54" s="1440"/>
      <c r="I54" s="14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2"/>
      <c r="K54" s="1442"/>
      <c r="L54" s="1442"/>
      <c r="M54" s="1425"/>
      <c r="O54" s="1403" t="s">
        <v>837</v>
      </c>
      <c r="P54" s="1381"/>
      <c r="Q54" s="1381"/>
      <c r="R54" s="1381"/>
    </row>
    <row r="55" spans="1:18" s="1384" customFormat="1" ht="13.5" thickBot="1">
      <c r="A55" s="1083" t="s">
        <v>437</v>
      </c>
      <c r="B55" s="1369" t="s">
        <v>701</v>
      </c>
      <c r="C55" s="1084"/>
      <c r="D55" s="1366"/>
      <c r="E55" s="3457"/>
      <c r="F55" s="1440"/>
      <c r="I55" s="1443" t="s">
        <v>838</v>
      </c>
      <c r="J55" s="1444" t="e">
        <f ca="1">ROUND(IF(J47="钢混",J57/J50,1-(1-2%)*(J50-J57)/J50),3)</f>
        <v>#N/A</v>
      </c>
      <c r="K55" s="1445" t="s">
        <v>839</v>
      </c>
      <c r="L55" s="1446"/>
      <c r="O55" s="1411" t="s">
        <v>809</v>
      </c>
      <c r="P55" s="1412" t="s">
        <v>810</v>
      </c>
      <c r="Q55" s="1413" t="s">
        <v>811</v>
      </c>
      <c r="R55" s="1413" t="s">
        <v>812</v>
      </c>
    </row>
    <row r="56" spans="1:18" s="1384" customFormat="1" ht="25.5" thickTop="1" thickBot="1">
      <c r="A56" s="957">
        <v>2</v>
      </c>
      <c r="B56" s="958" t="s">
        <v>702</v>
      </c>
      <c r="C56" s="232" t="e">
        <f ca="1">C13</f>
        <v>#N/A</v>
      </c>
      <c r="D56" s="1447"/>
      <c r="E56" s="1448"/>
      <c r="F56" s="1440"/>
      <c r="I56" s="1449" t="s">
        <v>840</v>
      </c>
      <c r="J56" s="1450" t="s">
        <v>3546</v>
      </c>
      <c r="K56" s="1421" t="s">
        <v>841</v>
      </c>
      <c r="L56" s="1424" t="e">
        <f ca="1">IF(L48&lt;J51,"——",L48-J53)</f>
        <v>#N/A</v>
      </c>
      <c r="O56" s="1418" t="s">
        <v>403</v>
      </c>
      <c r="P56" s="1419" t="s">
        <v>815</v>
      </c>
      <c r="Q56" s="1420" t="e">
        <f ca="1">C40+J29</f>
        <v>#N/A</v>
      </c>
      <c r="R56" s="1420" t="s">
        <v>816</v>
      </c>
    </row>
    <row r="57" spans="1:18" s="1384" customFormat="1" ht="24.75" thickBot="1">
      <c r="A57" s="1451"/>
      <c r="B57" s="950" t="s">
        <v>765</v>
      </c>
      <c r="C57" s="238" t="e">
        <f ca="1">C29</f>
        <v>#N/A</v>
      </c>
      <c r="D57" s="1452"/>
      <c r="E57" s="1453"/>
      <c r="F57" s="1454"/>
      <c r="I57" s="1455" t="s">
        <v>842</v>
      </c>
      <c r="J57" s="1456" t="e">
        <f ca="1">IF(OR(M47="住宅",J51&lt;L48,J56="是"),"——",J51-L48)</f>
        <v>#N/A</v>
      </c>
      <c r="K57" s="1421" t="s">
        <v>843</v>
      </c>
      <c r="L57" s="1424" t="e">
        <f ca="1">IF(L48&lt;J51,"——",IF(L55="比较法",L49,IF(L55="基准地价",L50,L51)))</f>
        <v>#N/A</v>
      </c>
      <c r="O57" s="1418" t="s">
        <v>404</v>
      </c>
      <c r="P57" s="1419" t="s">
        <v>844</v>
      </c>
      <c r="Q57" s="1420" t="e">
        <f ca="1">L60</f>
        <v>#N/A</v>
      </c>
      <c r="R57" s="1420" t="s">
        <v>845</v>
      </c>
    </row>
    <row r="58" spans="1:18" s="1384" customFormat="1" ht="24.75" thickBot="1">
      <c r="A58" s="315" t="s">
        <v>393</v>
      </c>
      <c r="B58" s="958" t="s">
        <v>712</v>
      </c>
      <c r="C58" s="316" t="e">
        <f ca="1">ROUND(C59+C64+C65+C66,0)</f>
        <v>#N/A</v>
      </c>
      <c r="D58" s="960" t="s">
        <v>713</v>
      </c>
      <c r="E58" s="961"/>
      <c r="F58" s="962"/>
      <c r="I58" s="1455" t="s">
        <v>846</v>
      </c>
      <c r="J58" s="1457" t="e">
        <f ca="1">IF(J55&lt;0.4,0.4,J55)</f>
        <v>#N/A</v>
      </c>
      <c r="K58" s="1434" t="s">
        <v>847</v>
      </c>
      <c r="L58" s="1424" t="e">
        <f ca="1">ROUND(POWER(1+L52,L47-L48)*(POWER(1+L52,L48)-1)/(POWER(1+L52,L47)-1),4)</f>
        <v>#N/A</v>
      </c>
      <c r="O58" s="1428" t="s">
        <v>405</v>
      </c>
      <c r="P58" s="1419" t="s">
        <v>848</v>
      </c>
      <c r="Q58" s="1420">
        <f>IF(L55="比较法",L49,IF(L55="基准地价",L50,0))</f>
        <v>0</v>
      </c>
      <c r="R58" s="1420" t="s">
        <v>816</v>
      </c>
    </row>
    <row r="59" spans="1:18" s="1384" customFormat="1" ht="24.75" thickBot="1">
      <c r="A59" s="982" t="s">
        <v>398</v>
      </c>
      <c r="B59" s="950" t="s">
        <v>717</v>
      </c>
      <c r="C59" s="2316" t="e">
        <f ca="1">ROUND(IF(AND(项目基本情况!B11="自然人",项目基本情况!B10="北京市"),C49*F59/(1+'数据-取费表'!C42),C60+C61+C62),0)</f>
        <v>#N/A</v>
      </c>
      <c r="D59" s="963" t="s">
        <v>718</v>
      </c>
      <c r="E59" s="964" t="s">
        <v>719</v>
      </c>
      <c r="F59" s="2315" t="str">
        <f>IF(项目基本情况!B11="企业","——",IF('数据-取费表'!B10="住宅",IF(F49*F50*F51/12/(1+'数据-取费表'!F30)&gt;100000,4%,2.5%),IF(F49*F50*F51/12/(1+'数据-取费表'!F30)&gt;100000,12%,7%)))</f>
        <v>——</v>
      </c>
      <c r="I59" s="1455" t="s">
        <v>849</v>
      </c>
      <c r="J59" s="1456" t="e">
        <f ca="1">IF(OR(M47="住宅",J51&lt;L48,J56="是"),"——",ROUND(C29*J58,0))</f>
        <v>#N/A</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#N/A</v>
      </c>
      <c r="M59" s="1380" t="e">
        <f ca="1">ROUND(POWER(1+L52,L47-(J51+'数据-取费表'!B24))*(POWER(1+L52,(J51+'数据-取费表'!B24))-1)/(POWER(1+L52,L47)-1),4)</f>
        <v>#N/A</v>
      </c>
      <c r="N59" s="1380" t="e">
        <f ca="1">ROUND(POWER(1+L52,L47-(J51+'数据-取费表'!B20))*(POWER(1+L52,(J51+'数据-取费表'!B20))-1)/(POWER(1+L52,L47)-1),4)</f>
        <v>#N/A</v>
      </c>
      <c r="O59" s="1428" t="s">
        <v>406</v>
      </c>
      <c r="P59" s="1419" t="s">
        <v>850</v>
      </c>
      <c r="Q59" s="1431">
        <f>L52</f>
        <v>0.05</v>
      </c>
      <c r="R59" s="1420"/>
    </row>
    <row r="60" spans="1:18" s="1384" customFormat="1" ht="16.5" thickBot="1">
      <c r="A60" s="982" t="s">
        <v>397</v>
      </c>
      <c r="B60" s="950" t="s">
        <v>721</v>
      </c>
      <c r="C60" s="21" t="e">
        <f ca="1">IF(项目基本情况!B11="自然人","——",ROUND(C48*F60/(1+'数据-取费表'!C42),2))</f>
        <v>#N/A</v>
      </c>
      <c r="D60" s="964" t="s">
        <v>722</v>
      </c>
      <c r="E60" s="950" t="s">
        <v>710</v>
      </c>
      <c r="F60" s="331">
        <f t="shared" ref="F60:F66" si="0">F32</f>
        <v>5.6000000000000001E-2</v>
      </c>
      <c r="I60" s="1458" t="s">
        <v>851</v>
      </c>
      <c r="J60" s="1459" t="e">
        <f ca="1">IF(OR(M47="住宅",J51&lt;L48,J56="是"),"0",ROUND(J59/(1+J52)^J53,0))</f>
        <v>#N/A</v>
      </c>
      <c r="K60" s="1460" t="s">
        <v>852</v>
      </c>
      <c r="L60" s="1459" t="e">
        <f ca="1">IF(OR(M47="住宅",L48&lt;J51),0,ROUND(L57*(L58/L59-1),0))</f>
        <v>#N/A</v>
      </c>
      <c r="O60" s="1428" t="s">
        <v>407</v>
      </c>
      <c r="P60" s="1419" t="s">
        <v>853</v>
      </c>
      <c r="Q60" s="1420" t="e">
        <f ca="1">L58</f>
        <v>#N/A</v>
      </c>
      <c r="R60" s="1420" t="s">
        <v>854</v>
      </c>
    </row>
    <row r="61" spans="1:18" s="1384" customFormat="1" ht="13.5" thickBot="1">
      <c r="A61" s="982" t="s">
        <v>779</v>
      </c>
      <c r="B61" s="950" t="s">
        <v>725</v>
      </c>
      <c r="C61" s="21" t="e">
        <f ca="1">IF(项目基本情况!B11="自然人","——",IF(D61="按租金收入计税",ROUND(C49*F61/(1+'数据-取费表'!C42),2),IF(D61="按房产原值计税",ROUND(C57*F61*0.7,2),INDIRECT("'数据-取费表'!Aj"&amp;$G$1))))</f>
        <v>#N/A</v>
      </c>
      <c r="D61" s="1370" t="s">
        <v>3337</v>
      </c>
      <c r="E61" s="950" t="s">
        <v>781</v>
      </c>
      <c r="F61" s="322">
        <f t="shared" si="0"/>
        <v>0.12</v>
      </c>
      <c r="I61" s="1461"/>
      <c r="J61" s="1461"/>
      <c r="K61" s="1461"/>
      <c r="L61" s="1461"/>
      <c r="O61" s="1428" t="s">
        <v>408</v>
      </c>
      <c r="P61" s="1419" t="str">
        <f>K59</f>
        <v>建筑物剩余耐用年限下的土地年期修正系数Kn</v>
      </c>
      <c r="Q61" s="1420" t="e">
        <f ca="1">L59</f>
        <v>#N/A</v>
      </c>
      <c r="R61" s="1420" t="s">
        <v>855</v>
      </c>
    </row>
    <row r="62" spans="1:18" s="1384" customFormat="1" ht="13.5" thickBot="1">
      <c r="A62" s="982" t="s">
        <v>782</v>
      </c>
      <c r="B62" s="949" t="s">
        <v>783</v>
      </c>
      <c r="C62" s="22" t="e">
        <f ca="1">IF(项目基本情况!B11="自然人","——",ROUND(F62*F63/10000,2))</f>
        <v>#N/A</v>
      </c>
      <c r="D62" s="965" t="s">
        <v>729</v>
      </c>
      <c r="E62" s="950" t="s">
        <v>785</v>
      </c>
      <c r="F62" s="325">
        <f t="shared" si="0"/>
        <v>0</v>
      </c>
      <c r="I62" s="1462" t="s">
        <v>856</v>
      </c>
      <c r="J62" s="1463" t="s">
        <v>857</v>
      </c>
      <c r="K62" s="1463" t="s">
        <v>858</v>
      </c>
      <c r="L62" s="1463" t="s">
        <v>859</v>
      </c>
      <c r="M62" s="1464" t="s">
        <v>860</v>
      </c>
      <c r="O62" s="1418" t="s">
        <v>409</v>
      </c>
      <c r="P62" s="1419" t="s">
        <v>861</v>
      </c>
      <c r="Q62" s="1420" t="e">
        <f ca="1">Q56+Q57</f>
        <v>#N/A</v>
      </c>
      <c r="R62" s="1420" t="s">
        <v>410</v>
      </c>
    </row>
    <row r="63" spans="1:18" s="1384" customFormat="1" ht="13.5" thickBot="1">
      <c r="A63" s="326"/>
      <c r="B63" s="956"/>
      <c r="C63" s="26"/>
      <c r="D63" s="966"/>
      <c r="E63" s="950" t="s">
        <v>734</v>
      </c>
      <c r="F63" s="303" t="e">
        <f t="shared" ca="1" si="0"/>
        <v>#N/A</v>
      </c>
      <c r="I63" s="1462" t="s">
        <v>862</v>
      </c>
      <c r="J63" s="1463">
        <v>70</v>
      </c>
      <c r="K63" s="1463">
        <v>50</v>
      </c>
      <c r="L63" s="1463">
        <v>80</v>
      </c>
      <c r="M63" s="1465">
        <v>0.02</v>
      </c>
      <c r="O63" s="1403" t="s">
        <v>863</v>
      </c>
      <c r="P63" s="1381"/>
      <c r="Q63" s="1381"/>
      <c r="R63" s="1381"/>
    </row>
    <row r="64" spans="1:18" s="1384" customFormat="1" ht="13.5" thickBot="1">
      <c r="A64" s="982" t="s">
        <v>402</v>
      </c>
      <c r="B64" s="950" t="s">
        <v>736</v>
      </c>
      <c r="C64" s="21" t="e">
        <f ca="1">ROUND(C57*F64,2)</f>
        <v>#N/A</v>
      </c>
      <c r="D64" s="964" t="s">
        <v>789</v>
      </c>
      <c r="E64" s="950" t="s">
        <v>781</v>
      </c>
      <c r="F64" s="328" t="e">
        <f t="shared" ca="1" si="0"/>
        <v>#N/A</v>
      </c>
      <c r="I64" s="1462" t="s">
        <v>864</v>
      </c>
      <c r="J64" s="1463">
        <v>50</v>
      </c>
      <c r="K64" s="1463">
        <v>35</v>
      </c>
      <c r="L64" s="1463">
        <v>60</v>
      </c>
      <c r="M64" s="1464">
        <v>0</v>
      </c>
      <c r="O64" s="1411" t="s">
        <v>809</v>
      </c>
      <c r="P64" s="1412" t="s">
        <v>810</v>
      </c>
      <c r="Q64" s="1413" t="s">
        <v>811</v>
      </c>
      <c r="R64" s="1413" t="s">
        <v>812</v>
      </c>
    </row>
    <row r="65" spans="1:18" s="1384" customFormat="1" ht="13.5" thickBot="1">
      <c r="A65" s="982" t="s">
        <v>790</v>
      </c>
      <c r="B65" s="950" t="s">
        <v>740</v>
      </c>
      <c r="C65" s="21" t="e">
        <f ca="1">ROUND(C56*F65,2)</f>
        <v>#N/A</v>
      </c>
      <c r="D65" s="964" t="s">
        <v>741</v>
      </c>
      <c r="E65" s="950" t="s">
        <v>710</v>
      </c>
      <c r="F65" s="330" t="e">
        <f t="shared" ca="1" si="0"/>
        <v>#N/A</v>
      </c>
      <c r="I65" s="1462" t="s">
        <v>865</v>
      </c>
      <c r="J65" s="1463">
        <v>40</v>
      </c>
      <c r="K65" s="1463">
        <v>30</v>
      </c>
      <c r="L65" s="1463">
        <v>50</v>
      </c>
      <c r="M65" s="1465">
        <v>0.02</v>
      </c>
      <c r="O65" s="1418" t="s">
        <v>403</v>
      </c>
      <c r="P65" s="1419" t="s">
        <v>866</v>
      </c>
      <c r="Q65" s="1420" t="e">
        <f ca="1">C40+J29</f>
        <v>#N/A</v>
      </c>
      <c r="R65" s="1420" t="s">
        <v>816</v>
      </c>
    </row>
    <row r="66" spans="1:18" s="1384" customFormat="1" ht="16.5" thickBot="1">
      <c r="A66" s="982" t="s">
        <v>791</v>
      </c>
      <c r="B66" s="950" t="s">
        <v>726</v>
      </c>
      <c r="C66" s="21" t="e">
        <f ca="1">ROUND(C48*F66,2)</f>
        <v>#N/A</v>
      </c>
      <c r="D66" s="964" t="s">
        <v>746</v>
      </c>
      <c r="E66" s="950" t="s">
        <v>710</v>
      </c>
      <c r="F66" s="312" t="e">
        <f t="shared" ca="1" si="0"/>
        <v>#N/A</v>
      </c>
      <c r="O66" s="1418" t="s">
        <v>404</v>
      </c>
      <c r="P66" s="1419" t="s">
        <v>844</v>
      </c>
      <c r="Q66" s="1420" t="e">
        <f ca="1">L60</f>
        <v>#N/A</v>
      </c>
      <c r="R66" s="1420" t="s">
        <v>867</v>
      </c>
    </row>
    <row r="67" spans="1:18" s="1384" customFormat="1" ht="16.5" thickBot="1">
      <c r="A67" s="957" t="s">
        <v>394</v>
      </c>
      <c r="B67" s="967" t="s">
        <v>750</v>
      </c>
      <c r="C67" s="316" t="e">
        <f ca="1">C48-C58</f>
        <v>#N/A</v>
      </c>
      <c r="D67" s="963" t="s">
        <v>751</v>
      </c>
      <c r="E67" s="968"/>
      <c r="F67" s="969"/>
      <c r="O67" s="1428" t="s">
        <v>405</v>
      </c>
      <c r="P67" s="1419" t="s">
        <v>848</v>
      </c>
      <c r="Q67" s="1466" t="e">
        <f ca="1">L51</f>
        <v>#N/A</v>
      </c>
      <c r="R67" s="1420" t="s">
        <v>868</v>
      </c>
    </row>
    <row r="68" spans="1:18" s="1384" customFormat="1" ht="16.5" thickBot="1">
      <c r="A68" s="947" t="s">
        <v>395</v>
      </c>
      <c r="B68" s="948" t="s">
        <v>772</v>
      </c>
      <c r="C68" s="301" t="e">
        <f ca="1">ROUND(C67*(1-((1+F70)/(1+F68))^F69)/(F68-F70),0)</f>
        <v>#N/A</v>
      </c>
      <c r="D68" s="965" t="s">
        <v>756</v>
      </c>
      <c r="E68" s="950" t="s">
        <v>757</v>
      </c>
      <c r="F68" s="312" t="e">
        <f ca="1">F40</f>
        <v>#N/A</v>
      </c>
      <c r="O68" s="1428" t="s">
        <v>406</v>
      </c>
      <c r="P68" s="1467" t="s">
        <v>869</v>
      </c>
      <c r="Q68" s="1420" t="e">
        <f ca="1">ROUND(Q69-Q70*Q71,0)</f>
        <v>#N/A</v>
      </c>
      <c r="R68" s="1420" t="s">
        <v>414</v>
      </c>
    </row>
    <row r="69" spans="1:18" s="1384" customFormat="1" ht="13.5" thickBot="1">
      <c r="A69" s="951"/>
      <c r="B69" s="952"/>
      <c r="C69" s="306"/>
      <c r="D69" s="970" t="s">
        <v>760</v>
      </c>
      <c r="E69" s="950" t="s">
        <v>761</v>
      </c>
      <c r="F69" s="333" t="e">
        <f ca="1">F41</f>
        <v>#N/A</v>
      </c>
      <c r="O69" s="1428" t="s">
        <v>411</v>
      </c>
      <c r="P69" s="1467" t="s">
        <v>870</v>
      </c>
      <c r="Q69" s="1420" t="e">
        <f ca="1">C39</f>
        <v>#N/A</v>
      </c>
      <c r="R69" s="1420" t="s">
        <v>816</v>
      </c>
    </row>
    <row r="70" spans="1:18" s="1384" customFormat="1" ht="13.5" thickBot="1">
      <c r="A70" s="954"/>
      <c r="B70" s="955"/>
      <c r="C70" s="310"/>
      <c r="D70" s="966"/>
      <c r="E70" s="950" t="s">
        <v>764</v>
      </c>
      <c r="F70" s="1054"/>
      <c r="O70" s="1428" t="s">
        <v>412</v>
      </c>
      <c r="P70" s="1467" t="s">
        <v>871</v>
      </c>
      <c r="Q70" s="1420" t="e">
        <f ca="1">C13</f>
        <v>#N/A</v>
      </c>
      <c r="R70" s="1420" t="s">
        <v>816</v>
      </c>
    </row>
    <row r="71" spans="1:18" s="1384" customFormat="1" ht="13.5" thickBot="1">
      <c r="A71" s="971" t="s">
        <v>396</v>
      </c>
      <c r="B71" s="972" t="s">
        <v>774</v>
      </c>
      <c r="C71" s="336" t="e">
        <f ca="1">ROUND(C68*10000/F71,0)</f>
        <v>#N/A</v>
      </c>
      <c r="D71" s="973" t="s">
        <v>775</v>
      </c>
      <c r="E71" s="974" t="s">
        <v>776</v>
      </c>
      <c r="F71" s="339" t="e">
        <f ca="1">F43</f>
        <v>#N/A</v>
      </c>
      <c r="O71" s="1428" t="s">
        <v>413</v>
      </c>
      <c r="P71" s="1467" t="s">
        <v>872</v>
      </c>
      <c r="Q71" s="1431" t="e">
        <f ca="1">C76</f>
        <v>#N/A</v>
      </c>
      <c r="R71" s="1420"/>
    </row>
    <row r="72" spans="1:18" s="1384" customFormat="1" ht="13.5" thickBot="1">
      <c r="B72" s="726"/>
      <c r="C72" s="726"/>
      <c r="O72" s="1428" t="s">
        <v>407</v>
      </c>
      <c r="P72" s="1419" t="s">
        <v>850</v>
      </c>
      <c r="Q72" s="1431">
        <f>L52</f>
        <v>0.05</v>
      </c>
      <c r="R72" s="1420"/>
    </row>
    <row r="73" spans="1:18" ht="16.5" thickBot="1">
      <c r="A73" s="1384"/>
      <c r="B73" s="726"/>
      <c r="C73" s="726"/>
      <c r="D73" s="1384"/>
      <c r="E73" s="1384"/>
      <c r="F73" s="1384"/>
      <c r="O73" s="1428" t="s">
        <v>408</v>
      </c>
      <c r="P73" s="1419" t="s">
        <v>853</v>
      </c>
      <c r="Q73" s="1420" t="e">
        <f ca="1">L58</f>
        <v>#N/A</v>
      </c>
      <c r="R73" s="1420" t="s">
        <v>854</v>
      </c>
    </row>
    <row r="74" spans="1:18" ht="13.5" thickBot="1">
      <c r="A74" s="1384"/>
      <c r="B74" s="273" t="s">
        <v>873</v>
      </c>
      <c r="C74" s="1469"/>
      <c r="D74" s="1384"/>
      <c r="E74" s="1384"/>
      <c r="F74" s="1384"/>
      <c r="O74" s="1428" t="s">
        <v>415</v>
      </c>
      <c r="P74" s="1419" t="str">
        <f>K59</f>
        <v>建筑物剩余耐用年限下的土地年期修正系数Kn</v>
      </c>
      <c r="Q74" s="1420" t="e">
        <f ca="1">L59</f>
        <v>#N/A</v>
      </c>
      <c r="R74" s="1420" t="s">
        <v>855</v>
      </c>
    </row>
    <row r="75" spans="1:18" ht="13.5" thickBot="1">
      <c r="A75" s="1384"/>
      <c r="B75" s="340" t="s">
        <v>793</v>
      </c>
      <c r="C75" s="341" t="e">
        <f ca="1">ROUND(C13*C76,0)</f>
        <v>#N/A</v>
      </c>
      <c r="D75" s="1384"/>
      <c r="E75" s="1384"/>
      <c r="F75" s="1384"/>
      <c r="K75" s="1402"/>
      <c r="L75" s="1384"/>
      <c r="O75" s="1418" t="s">
        <v>409</v>
      </c>
      <c r="P75" s="1419" t="s">
        <v>836</v>
      </c>
      <c r="Q75" s="1420" t="e">
        <f ca="1">Q65+Q66</f>
        <v>#N/A</v>
      </c>
      <c r="R75" s="1420" t="s">
        <v>410</v>
      </c>
    </row>
    <row r="76" spans="1:18">
      <c r="B76" s="342" t="s">
        <v>794</v>
      </c>
      <c r="C76" s="343" t="e">
        <f ca="1">INDIRECT("'数据-取费表'!j"&amp;$G$1)</f>
        <v>#N/A</v>
      </c>
      <c r="I76" s="1384"/>
      <c r="J76" s="1384"/>
      <c r="K76" s="1402"/>
      <c r="L76" s="1384"/>
    </row>
    <row r="77" spans="1:18">
      <c r="B77" s="344" t="s">
        <v>795</v>
      </c>
      <c r="C77" s="345"/>
      <c r="I77" s="1384"/>
      <c r="J77" s="1384"/>
      <c r="K77" s="1402"/>
      <c r="L77" s="1384"/>
    </row>
    <row r="78" spans="1:18">
      <c r="B78" s="270" t="s">
        <v>796</v>
      </c>
      <c r="C78" s="346"/>
    </row>
    <row r="79" spans="1:18">
      <c r="B79" s="340" t="s">
        <v>797</v>
      </c>
      <c r="C79" s="274" t="e">
        <f ca="1">1-C80</f>
        <v>#N/A</v>
      </c>
    </row>
    <row r="80" spans="1:18">
      <c r="B80" s="340" t="s">
        <v>798</v>
      </c>
      <c r="C80" s="274" t="e">
        <f ca="1">ROUND(C75/C39,3)</f>
        <v>#N/A</v>
      </c>
    </row>
    <row r="81" spans="2:3">
      <c r="B81" s="270" t="s">
        <v>799</v>
      </c>
      <c r="C81" s="238"/>
    </row>
    <row r="82" spans="2:3">
      <c r="B82" s="273" t="s">
        <v>800</v>
      </c>
      <c r="C82" s="275" t="e">
        <f ca="1">1-C83</f>
        <v>#N/A</v>
      </c>
    </row>
    <row r="83" spans="2:3">
      <c r="B83" s="273" t="s">
        <v>801</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96" priority="4">
      <formula>$L$48&gt;$J$51</formula>
    </cfRule>
  </conditionalFormatting>
  <conditionalFormatting sqref="I55 I60">
    <cfRule type="expression" dxfId="195" priority="5">
      <formula>$J$51&gt;$L$48</formula>
    </cfRule>
  </conditionalFormatting>
  <conditionalFormatting sqref="C11">
    <cfRule type="expression" dxfId="194" priority="3">
      <formula>$F$10="自定义"</formula>
    </cfRule>
  </conditionalFormatting>
  <conditionalFormatting sqref="J11">
    <cfRule type="expression" dxfId="193" priority="2">
      <formula>$M$10="自定义"</formula>
    </cfRule>
  </conditionalFormatting>
  <conditionalFormatting sqref="C54">
    <cfRule type="expression" dxfId="192"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7" sqref="B7"/>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1656</v>
      </c>
      <c r="B1" s="1868"/>
      <c r="C1" s="1868"/>
      <c r="D1" s="1868"/>
      <c r="E1" s="1869"/>
      <c r="F1" s="2707"/>
      <c r="G1" s="1489"/>
      <c r="H1" s="1489"/>
      <c r="I1" s="1489"/>
      <c r="J1" s="1489"/>
      <c r="K1" s="1489"/>
      <c r="L1" s="1489"/>
      <c r="M1" s="1489"/>
      <c r="N1" s="1489"/>
      <c r="O1" s="1489"/>
      <c r="P1" s="1489"/>
      <c r="Q1" s="1489"/>
      <c r="R1" s="1489"/>
      <c r="S1" s="1489"/>
    </row>
    <row r="2" spans="1:22" ht="15.75">
      <c r="A2" s="1870" t="s">
        <v>1460</v>
      </c>
      <c r="B2" s="1871">
        <f ca="1">SUMIF(B6:B13,"&lt;&gt;#ref!",B6:B13)</f>
        <v>67202</v>
      </c>
      <c r="C2" s="1872" t="s">
        <v>1649</v>
      </c>
      <c r="D2" s="1873" t="s">
        <v>1650</v>
      </c>
      <c r="E2" s="2607">
        <f>SUM(E6:E13)</f>
        <v>18448.600000000002</v>
      </c>
      <c r="F2" s="2707"/>
      <c r="G2" s="1489"/>
      <c r="H2" s="1489"/>
      <c r="I2" s="1489"/>
      <c r="J2" s="1489"/>
      <c r="K2" s="1489"/>
      <c r="L2" s="1489"/>
      <c r="M2" s="1489"/>
      <c r="N2" s="1489"/>
      <c r="O2" s="1489"/>
      <c r="P2" s="1489"/>
      <c r="Q2" s="1489"/>
      <c r="R2" s="1489"/>
      <c r="S2" s="1489"/>
    </row>
    <row r="3" spans="1:22" ht="15.75">
      <c r="A3" s="1870" t="s">
        <v>684</v>
      </c>
      <c r="B3" s="2601">
        <f ca="1">ROUND(B2*10000/E2,0)</f>
        <v>36427</v>
      </c>
      <c r="C3" s="1872" t="s">
        <v>1657</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1651</v>
      </c>
      <c r="B5" s="3896" t="s">
        <v>1652</v>
      </c>
      <c r="C5" s="3897"/>
      <c r="D5" s="2708"/>
      <c r="E5" s="1874" t="s">
        <v>1653</v>
      </c>
      <c r="F5" s="1875" t="s">
        <v>1654</v>
      </c>
      <c r="G5" s="1489"/>
      <c r="H5" s="1489"/>
      <c r="I5" s="1489"/>
      <c r="J5" s="1489"/>
      <c r="K5" s="1489"/>
      <c r="L5" s="1489"/>
      <c r="M5" s="1489"/>
      <c r="N5" s="1489"/>
      <c r="O5" s="1489"/>
      <c r="P5" s="1489"/>
      <c r="Q5" s="1489"/>
      <c r="R5" s="1489"/>
      <c r="S5" s="1489"/>
    </row>
    <row r="6" spans="1:22">
      <c r="A6" s="2604" t="str">
        <f>'数据-取费表'!AN6</f>
        <v>收益法</v>
      </c>
      <c r="B6" s="2602">
        <f ca="1">IF(F6="是",'数据-取费表'!AO6,0)</f>
        <v>3211</v>
      </c>
      <c r="C6" s="1872" t="s">
        <v>1649</v>
      </c>
      <c r="D6" s="2709"/>
      <c r="E6" s="2606">
        <f>IF(OR(A6=0,F6="否"),0,'数据-取费表'!K6+'数据-取费表'!S6)</f>
        <v>1168.2</v>
      </c>
      <c r="F6" s="1876" t="s">
        <v>1655</v>
      </c>
      <c r="G6" s="1489"/>
      <c r="H6" s="1489"/>
      <c r="I6" s="1489"/>
      <c r="J6" s="1489"/>
      <c r="K6" s="1489"/>
      <c r="L6" s="1489"/>
      <c r="M6" s="1489"/>
      <c r="N6" s="1489"/>
      <c r="O6" s="1489"/>
      <c r="P6" s="1489"/>
      <c r="Q6" s="1489"/>
      <c r="R6" s="1489"/>
      <c r="S6" s="1489"/>
    </row>
    <row r="7" spans="1:22">
      <c r="A7" s="2604" t="str">
        <f>'数据-取费表'!AN7</f>
        <v>收益法(划拨)</v>
      </c>
      <c r="B7" s="2602">
        <f ca="1">IF(F7="是",'数据-取费表'!AO7,0)</f>
        <v>63991</v>
      </c>
      <c r="C7" s="1872" t="s">
        <v>1649</v>
      </c>
      <c r="D7" s="2709"/>
      <c r="E7" s="2606">
        <f>IF(OR(A7=0,F7="否"),0,'数据-取费表'!K7+'数据-取费表'!S7)</f>
        <v>17280.400000000001</v>
      </c>
      <c r="F7" s="1876" t="s">
        <v>1655</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1649</v>
      </c>
      <c r="D8" s="2709"/>
      <c r="E8" s="2606">
        <f>IF(OR(A8=0,F8="否"),0,'数据-取费表'!K8+'数据-取费表'!S8)</f>
        <v>0</v>
      </c>
      <c r="F8" s="1876" t="s">
        <v>1655</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1649</v>
      </c>
      <c r="D9" s="2709"/>
      <c r="E9" s="2606">
        <f>IF(OR(A9=0,F9="否"),0,'数据-取费表'!K9+'数据-取费表'!S9)</f>
        <v>0</v>
      </c>
      <c r="F9" s="1876" t="s">
        <v>1655</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1649</v>
      </c>
      <c r="D10" s="2709"/>
      <c r="E10" s="2606">
        <f>IF(OR(A10=0,F10="否"),0,'数据-取费表'!K10+'数据-取费表'!S10)</f>
        <v>0</v>
      </c>
      <c r="F10" s="1876" t="s">
        <v>1655</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1649</v>
      </c>
      <c r="D11" s="2709"/>
      <c r="E11" s="2606">
        <f>IF(OR(A11=0,F11="否"),0,'数据-取费表'!K11+'数据-取费表'!S11)</f>
        <v>0</v>
      </c>
      <c r="F11" s="1876" t="s">
        <v>1655</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1649</v>
      </c>
      <c r="D12" s="2709"/>
      <c r="E12" s="2606">
        <f>IF(OR(A12=0,F12="否"),0,'数据-取费表'!K12+'数据-取费表'!S12)</f>
        <v>0</v>
      </c>
      <c r="F12" s="1876" t="s">
        <v>1655</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1649</v>
      </c>
      <c r="D13" s="2710"/>
      <c r="E13" s="2606">
        <f>IF(OR(A13=0,F13="否"),0,'数据-取费表'!K13+'数据-取费表'!S13)</f>
        <v>0</v>
      </c>
      <c r="F13" s="1876" t="s">
        <v>1655</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1658</v>
      </c>
      <c r="B1" s="1878" t="s">
        <v>1659</v>
      </c>
      <c r="C1" s="1238" t="s">
        <v>1660</v>
      </c>
      <c r="D1" s="1225"/>
      <c r="E1" s="3426"/>
      <c r="F1" s="1879"/>
      <c r="G1" s="1235" t="s">
        <v>1661</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683</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1662</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684</v>
      </c>
      <c r="B3" s="353">
        <f>IF(C2="——",C49,ROUND(B2*10000/D3,0))</f>
        <v>0</v>
      </c>
      <c r="C3" s="354" t="s">
        <v>1663</v>
      </c>
      <c r="D3" s="353">
        <f>IF(D1="",'数据-汇总表'!E3,SUMIF('数据-汇总表'!$C19:$C33,D1,'数据-汇总表'!$E19:$E33))</f>
        <v>18448.600000000002</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1664</v>
      </c>
      <c r="B4" s="356"/>
      <c r="C4" s="3916" t="s">
        <v>1665</v>
      </c>
      <c r="D4" s="3917"/>
      <c r="E4" s="3918" t="s">
        <v>1666</v>
      </c>
      <c r="F4" s="3919"/>
      <c r="G4" s="3916" t="s">
        <v>1667</v>
      </c>
      <c r="H4" s="3917"/>
      <c r="I4" s="3916" t="s">
        <v>1668</v>
      </c>
      <c r="J4" s="3917"/>
      <c r="K4" s="1889" t="s">
        <v>1669</v>
      </c>
      <c r="L4" s="2715"/>
      <c r="M4" s="2716"/>
      <c r="N4" s="2716"/>
      <c r="O4" s="2716"/>
      <c r="P4" s="3920" t="s">
        <v>1670</v>
      </c>
      <c r="Q4" s="3921"/>
      <c r="R4" s="3926" t="s">
        <v>1666</v>
      </c>
      <c r="S4" s="3927"/>
      <c r="T4" s="3926" t="s">
        <v>1667</v>
      </c>
      <c r="U4" s="3927"/>
      <c r="V4" s="3932" t="s">
        <v>1668</v>
      </c>
      <c r="W4" s="3932"/>
      <c r="X4" s="1355"/>
      <c r="Y4" s="3926" t="s">
        <v>1670</v>
      </c>
      <c r="Z4" s="3927"/>
      <c r="AA4" s="3913" t="s">
        <v>1666</v>
      </c>
      <c r="AB4" s="3913" t="s">
        <v>1667</v>
      </c>
      <c r="AC4" s="3913" t="s">
        <v>1668</v>
      </c>
    </row>
    <row r="5" spans="1:29" ht="15">
      <c r="A5" s="358"/>
      <c r="B5" s="359"/>
      <c r="C5" s="3935" t="s">
        <v>1671</v>
      </c>
      <c r="D5" s="3936"/>
      <c r="E5" s="3942" t="s">
        <v>1672</v>
      </c>
      <c r="F5" s="3943"/>
      <c r="G5" s="3935" t="s">
        <v>1673</v>
      </c>
      <c r="H5" s="3936"/>
      <c r="I5" s="3935" t="s">
        <v>1674</v>
      </c>
      <c r="J5" s="3936"/>
      <c r="K5" s="1890"/>
      <c r="L5" s="2715"/>
      <c r="M5" s="2716"/>
      <c r="N5" s="2716"/>
      <c r="O5" s="2716"/>
      <c r="P5" s="3922"/>
      <c r="Q5" s="3923"/>
      <c r="R5" s="3928"/>
      <c r="S5" s="3929"/>
      <c r="T5" s="3928"/>
      <c r="U5" s="3929"/>
      <c r="V5" s="3932"/>
      <c r="W5" s="3932"/>
      <c r="X5" s="1355"/>
      <c r="Y5" s="3928"/>
      <c r="Z5" s="3929"/>
      <c r="AA5" s="3914"/>
      <c r="AB5" s="3914"/>
      <c r="AC5" s="3914"/>
    </row>
    <row r="6" spans="1:29" ht="15.75" thickBot="1">
      <c r="A6" s="360"/>
      <c r="B6" s="361"/>
      <c r="C6" s="3933" t="s">
        <v>1675</v>
      </c>
      <c r="D6" s="3934"/>
      <c r="E6" s="3940" t="s">
        <v>1675</v>
      </c>
      <c r="F6" s="3941"/>
      <c r="G6" s="3933" t="s">
        <v>1675</v>
      </c>
      <c r="H6" s="3934"/>
      <c r="I6" s="3933" t="s">
        <v>1675</v>
      </c>
      <c r="J6" s="3934"/>
      <c r="K6" s="1890" t="s">
        <v>1676</v>
      </c>
      <c r="L6" s="2715"/>
      <c r="M6" s="2716"/>
      <c r="N6" s="2716"/>
      <c r="O6" s="2716"/>
      <c r="P6" s="3924"/>
      <c r="Q6" s="3925"/>
      <c r="R6" s="3928"/>
      <c r="S6" s="3929"/>
      <c r="T6" s="3930"/>
      <c r="U6" s="3931"/>
      <c r="V6" s="3932"/>
      <c r="W6" s="3932"/>
      <c r="X6" s="1355"/>
      <c r="Y6" s="3930"/>
      <c r="Z6" s="3931"/>
      <c r="AA6" s="3915"/>
      <c r="AB6" s="3915"/>
      <c r="AC6" s="3915"/>
    </row>
    <row r="7" spans="1:29" s="108" customFormat="1" ht="15.75" thickBot="1">
      <c r="A7" s="362" t="s">
        <v>1677</v>
      </c>
      <c r="B7" s="363"/>
      <c r="C7" s="364">
        <f>'数据-取费表'!B2</f>
        <v>45400</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937" t="s">
        <v>1678</v>
      </c>
      <c r="Q7" s="3939"/>
      <c r="R7" s="701" t="s">
        <v>20</v>
      </c>
      <c r="S7" s="702">
        <f t="shared" ref="S7:S15" si="0">F7</f>
        <v>0</v>
      </c>
      <c r="T7" s="701" t="s">
        <v>20</v>
      </c>
      <c r="U7" s="702">
        <f t="shared" ref="U7:U15" si="1">H7</f>
        <v>0</v>
      </c>
      <c r="V7" s="701" t="s">
        <v>20</v>
      </c>
      <c r="W7" s="702">
        <f t="shared" ref="W7:W15" si="2">J7</f>
        <v>0</v>
      </c>
      <c r="X7" s="703"/>
      <c r="Y7" s="3937" t="s">
        <v>1678</v>
      </c>
      <c r="Z7" s="3938"/>
      <c r="AA7" s="704" t="e">
        <f>D7/F7</f>
        <v>#DIV/0!</v>
      </c>
      <c r="AB7" s="704" t="e">
        <f>D7/H7</f>
        <v>#DIV/0!</v>
      </c>
      <c r="AC7" s="704" t="e">
        <f>D7/J7</f>
        <v>#DIV/0!</v>
      </c>
    </row>
    <row r="8" spans="1:29" s="108" customFormat="1" ht="15.75" thickBot="1">
      <c r="A8" s="362" t="s">
        <v>1679</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937" t="s">
        <v>1681</v>
      </c>
      <c r="Q8" s="3938"/>
      <c r="R8" s="701" t="s">
        <v>20</v>
      </c>
      <c r="S8" s="702">
        <f t="shared" si="0"/>
        <v>100</v>
      </c>
      <c r="T8" s="701" t="s">
        <v>20</v>
      </c>
      <c r="U8" s="702">
        <f t="shared" si="1"/>
        <v>100</v>
      </c>
      <c r="V8" s="701" t="s">
        <v>20</v>
      </c>
      <c r="W8" s="702">
        <f t="shared" si="2"/>
        <v>100</v>
      </c>
      <c r="X8" s="703"/>
      <c r="Y8" s="3937" t="s">
        <v>1681</v>
      </c>
      <c r="Z8" s="3938"/>
      <c r="AA8" s="704">
        <f t="shared" ref="AA8:AA19" si="3">D8/F8</f>
        <v>1</v>
      </c>
      <c r="AB8" s="704">
        <f t="shared" ref="AB8:AB19" si="4">D8/H8</f>
        <v>1</v>
      </c>
      <c r="AC8" s="704">
        <f t="shared" ref="AC8:AC19" si="5">D8/J8</f>
        <v>1</v>
      </c>
    </row>
    <row r="9" spans="1:29" s="108" customFormat="1">
      <c r="A9" s="369" t="s">
        <v>1682</v>
      </c>
      <c r="B9" s="63" t="s">
        <v>1683</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912"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704">
        <f t="shared" si="5"/>
        <v>1</v>
      </c>
    </row>
    <row r="10" spans="1:29" s="378" customFormat="1" ht="27">
      <c r="A10" s="374"/>
      <c r="B10" s="375" t="s">
        <v>1686</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912"/>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704">
        <f t="shared" si="5"/>
        <v>1</v>
      </c>
    </row>
    <row r="11" spans="1:29" ht="15">
      <c r="A11" s="379"/>
      <c r="B11" s="375" t="s">
        <v>1687</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912"/>
      <c r="Q11" s="1343" t="str">
        <f t="shared" si="6"/>
        <v>容积率</v>
      </c>
      <c r="R11" s="701" t="s">
        <v>18</v>
      </c>
      <c r="S11" s="702" t="e">
        <f t="shared" si="0"/>
        <v>#N/A</v>
      </c>
      <c r="T11" s="701" t="s">
        <v>18</v>
      </c>
      <c r="U11" s="702" t="e">
        <f t="shared" si="1"/>
        <v>#N/A</v>
      </c>
      <c r="V11" s="701" t="s">
        <v>18</v>
      </c>
      <c r="W11" s="702" t="e">
        <f t="shared" si="2"/>
        <v>#N/A</v>
      </c>
      <c r="X11" s="703"/>
      <c r="Y11" s="3757"/>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912"/>
      <c r="Q12" s="1343">
        <f t="shared" si="6"/>
        <v>111</v>
      </c>
      <c r="R12" s="701" t="s">
        <v>18</v>
      </c>
      <c r="S12" s="702">
        <f t="shared" si="0"/>
        <v>100</v>
      </c>
      <c r="T12" s="701" t="s">
        <v>18</v>
      </c>
      <c r="U12" s="702">
        <f t="shared" si="1"/>
        <v>100</v>
      </c>
      <c r="V12" s="701" t="s">
        <v>18</v>
      </c>
      <c r="W12" s="702">
        <f t="shared" si="2"/>
        <v>100</v>
      </c>
      <c r="X12" s="703"/>
      <c r="Y12" s="375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912"/>
      <c r="Q13" s="1343">
        <f t="shared" si="6"/>
        <v>111</v>
      </c>
      <c r="R13" s="701" t="s">
        <v>18</v>
      </c>
      <c r="S13" s="702">
        <f t="shared" si="0"/>
        <v>100</v>
      </c>
      <c r="T13" s="701" t="s">
        <v>18</v>
      </c>
      <c r="U13" s="702">
        <f t="shared" si="1"/>
        <v>100</v>
      </c>
      <c r="V13" s="701" t="s">
        <v>18</v>
      </c>
      <c r="W13" s="702">
        <f t="shared" si="2"/>
        <v>100</v>
      </c>
      <c r="X13" s="703"/>
      <c r="Y13" s="3757"/>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912"/>
      <c r="Q14" s="1343">
        <f t="shared" si="6"/>
        <v>111</v>
      </c>
      <c r="R14" s="701" t="s">
        <v>18</v>
      </c>
      <c r="S14" s="702">
        <f t="shared" si="0"/>
        <v>100</v>
      </c>
      <c r="T14" s="701" t="s">
        <v>18</v>
      </c>
      <c r="U14" s="702">
        <f t="shared" si="1"/>
        <v>100</v>
      </c>
      <c r="V14" s="701" t="s">
        <v>18</v>
      </c>
      <c r="W14" s="702">
        <f t="shared" si="2"/>
        <v>100</v>
      </c>
      <c r="X14" s="703"/>
      <c r="Y14" s="3757"/>
      <c r="Z14" s="52">
        <f t="shared" si="7"/>
        <v>111</v>
      </c>
      <c r="AA14" s="704">
        <f t="shared" si="3"/>
        <v>1</v>
      </c>
      <c r="AB14" s="704">
        <f t="shared" si="4"/>
        <v>1</v>
      </c>
      <c r="AC14" s="704">
        <f t="shared" si="5"/>
        <v>1</v>
      </c>
    </row>
    <row r="15" spans="1:29" ht="85.5">
      <c r="A15" s="391" t="s">
        <v>1688</v>
      </c>
      <c r="B15" s="61" t="s">
        <v>1255</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910" t="s">
        <v>1689</v>
      </c>
      <c r="Q15" s="1352" t="str">
        <f t="shared" si="6"/>
        <v>居住社区成熟度</v>
      </c>
      <c r="R15" s="705" t="s">
        <v>18</v>
      </c>
      <c r="S15" s="706">
        <f t="shared" si="0"/>
        <v>100</v>
      </c>
      <c r="T15" s="705" t="s">
        <v>18</v>
      </c>
      <c r="U15" s="706">
        <f t="shared" si="1"/>
        <v>100</v>
      </c>
      <c r="V15" s="705" t="s">
        <v>18</v>
      </c>
      <c r="W15" s="706">
        <f t="shared" si="2"/>
        <v>100</v>
      </c>
      <c r="X15" s="1355"/>
      <c r="Y15" s="3903" t="s">
        <v>1689</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911"/>
      <c r="Q16" s="1352"/>
      <c r="R16" s="705"/>
      <c r="S16" s="706"/>
      <c r="T16" s="705"/>
      <c r="U16" s="706"/>
      <c r="V16" s="705"/>
      <c r="W16" s="706"/>
      <c r="X16" s="1355"/>
      <c r="Y16" s="3904"/>
      <c r="Z16" s="1356"/>
      <c r="AA16" s="1353">
        <v>1</v>
      </c>
      <c r="AB16" s="1353">
        <v>1</v>
      </c>
      <c r="AC16" s="1353">
        <v>1</v>
      </c>
    </row>
    <row r="17" spans="1:29" ht="71.25">
      <c r="A17" s="379"/>
      <c r="B17" s="402" t="s">
        <v>1257</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911"/>
      <c r="Q17" s="1352" t="str">
        <f>B17</f>
        <v>交通便捷度</v>
      </c>
      <c r="R17" s="705" t="s">
        <v>18</v>
      </c>
      <c r="S17" s="706">
        <f>F17</f>
        <v>100</v>
      </c>
      <c r="T17" s="705" t="s">
        <v>18</v>
      </c>
      <c r="U17" s="706">
        <f>H17</f>
        <v>100</v>
      </c>
      <c r="V17" s="705" t="s">
        <v>18</v>
      </c>
      <c r="W17" s="706">
        <f>J17</f>
        <v>100</v>
      </c>
      <c r="X17" s="1355"/>
      <c r="Y17" s="3904"/>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911"/>
      <c r="Q18" s="1352"/>
      <c r="R18" s="705"/>
      <c r="S18" s="706"/>
      <c r="T18" s="705"/>
      <c r="U18" s="706"/>
      <c r="V18" s="705"/>
      <c r="W18" s="706"/>
      <c r="X18" s="1355"/>
      <c r="Y18" s="3904"/>
      <c r="Z18" s="1356"/>
      <c r="AA18" s="1353">
        <v>1</v>
      </c>
      <c r="AB18" s="1353">
        <v>1</v>
      </c>
      <c r="AC18" s="1353">
        <v>1</v>
      </c>
    </row>
    <row r="19" spans="1:29" ht="42.75">
      <c r="A19" s="379"/>
      <c r="B19" s="402" t="s">
        <v>1256</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911"/>
      <c r="Q19" s="1352" t="str">
        <f>B19</f>
        <v>公共配套设施</v>
      </c>
      <c r="R19" s="705" t="s">
        <v>18</v>
      </c>
      <c r="S19" s="706">
        <f>F19</f>
        <v>100</v>
      </c>
      <c r="T19" s="705" t="s">
        <v>18</v>
      </c>
      <c r="U19" s="706">
        <f>H19</f>
        <v>100</v>
      </c>
      <c r="V19" s="705" t="s">
        <v>18</v>
      </c>
      <c r="W19" s="706">
        <f>J19</f>
        <v>100</v>
      </c>
      <c r="X19" s="1355"/>
      <c r="Y19" s="3904"/>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911"/>
      <c r="Q20" s="1352"/>
      <c r="R20" s="705"/>
      <c r="S20" s="706"/>
      <c r="T20" s="705"/>
      <c r="U20" s="706"/>
      <c r="V20" s="705"/>
      <c r="W20" s="706"/>
      <c r="X20" s="1355"/>
      <c r="Y20" s="3904"/>
      <c r="Z20" s="1356"/>
      <c r="AA20" s="1353">
        <v>1</v>
      </c>
      <c r="AB20" s="1353">
        <v>1</v>
      </c>
      <c r="AC20" s="1353">
        <v>1</v>
      </c>
    </row>
    <row r="21" spans="1:29" ht="28.5">
      <c r="A21" s="379"/>
      <c r="B21" s="1131" t="s">
        <v>1258</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911"/>
      <c r="Q21" s="1352" t="str">
        <f>B21</f>
        <v>基础设施水平</v>
      </c>
      <c r="R21" s="705" t="s">
        <v>14</v>
      </c>
      <c r="S21" s="706">
        <f>F21</f>
        <v>100</v>
      </c>
      <c r="T21" s="705" t="s">
        <v>14</v>
      </c>
      <c r="U21" s="706">
        <f>H21</f>
        <v>100</v>
      </c>
      <c r="V21" s="705" t="s">
        <v>14</v>
      </c>
      <c r="W21" s="706">
        <f>J21</f>
        <v>100</v>
      </c>
      <c r="X21" s="1355"/>
      <c r="Y21" s="390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911"/>
      <c r="Q22" s="1352"/>
      <c r="R22" s="705"/>
      <c r="S22" s="706"/>
      <c r="T22" s="705"/>
      <c r="U22" s="706"/>
      <c r="V22" s="705"/>
      <c r="W22" s="706"/>
      <c r="X22" s="1355"/>
      <c r="Y22" s="3904"/>
      <c r="Z22" s="1356"/>
      <c r="AA22" s="1353">
        <v>1</v>
      </c>
      <c r="AB22" s="1353">
        <v>1</v>
      </c>
      <c r="AC22" s="1353">
        <v>1</v>
      </c>
    </row>
    <row r="23" spans="1:29" ht="42.75">
      <c r="A23" s="379"/>
      <c r="B23" s="402" t="s">
        <v>1259</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911"/>
      <c r="Q23" s="1352" t="str">
        <f>B23</f>
        <v>自然及人文环境</v>
      </c>
      <c r="R23" s="705" t="s">
        <v>18</v>
      </c>
      <c r="S23" s="706">
        <f>F23</f>
        <v>100</v>
      </c>
      <c r="T23" s="705" t="s">
        <v>18</v>
      </c>
      <c r="U23" s="706">
        <f>H23</f>
        <v>100</v>
      </c>
      <c r="V23" s="705" t="s">
        <v>18</v>
      </c>
      <c r="W23" s="706">
        <f>J23</f>
        <v>100</v>
      </c>
      <c r="X23" s="1355"/>
      <c r="Y23" s="3904"/>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911"/>
      <c r="Q24" s="1352"/>
      <c r="R24" s="705"/>
      <c r="S24" s="706"/>
      <c r="T24" s="705"/>
      <c r="U24" s="706"/>
      <c r="V24" s="705"/>
      <c r="W24" s="706"/>
      <c r="X24" s="1355"/>
      <c r="Y24" s="3904"/>
      <c r="Z24" s="1356"/>
      <c r="AA24" s="1353">
        <v>1</v>
      </c>
      <c r="AB24" s="1353">
        <v>1</v>
      </c>
      <c r="AC24" s="1353">
        <v>1</v>
      </c>
    </row>
    <row r="25" spans="1:29" ht="15">
      <c r="A25" s="379"/>
      <c r="B25" s="375" t="s">
        <v>1690</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911"/>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904"/>
      <c r="Z25" s="1356" t="str">
        <f>Q25</f>
        <v>楼层-1</v>
      </c>
      <c r="AA25" s="1353">
        <f t="shared" ref="AA25:AA46" si="15">D25/F25</f>
        <v>1</v>
      </c>
      <c r="AB25" s="1353">
        <f t="shared" ref="AB25:AB46" si="16">D25/H25</f>
        <v>1</v>
      </c>
      <c r="AC25" s="1353">
        <f t="shared" ref="AC25:AC46" si="17">D25/J25</f>
        <v>1</v>
      </c>
    </row>
    <row r="26" spans="1:29" ht="15">
      <c r="A26" s="379"/>
      <c r="B26" s="375" t="s">
        <v>1691</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911"/>
      <c r="Q26" s="1352" t="str">
        <f t="shared" si="11"/>
        <v>朝向</v>
      </c>
      <c r="R26" s="705" t="s">
        <v>18</v>
      </c>
      <c r="S26" s="706">
        <f t="shared" si="12"/>
        <v>100</v>
      </c>
      <c r="T26" s="705" t="s">
        <v>18</v>
      </c>
      <c r="U26" s="706">
        <f t="shared" si="13"/>
        <v>100</v>
      </c>
      <c r="V26" s="705" t="s">
        <v>18</v>
      </c>
      <c r="W26" s="706">
        <f t="shared" si="14"/>
        <v>100</v>
      </c>
      <c r="X26" s="1355"/>
      <c r="Y26" s="3904"/>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911"/>
      <c r="Q27" s="1343">
        <f t="shared" si="11"/>
        <v>111</v>
      </c>
      <c r="R27" s="701" t="s">
        <v>18</v>
      </c>
      <c r="S27" s="702">
        <f t="shared" si="12"/>
        <v>100</v>
      </c>
      <c r="T27" s="701" t="s">
        <v>18</v>
      </c>
      <c r="U27" s="702">
        <f t="shared" si="13"/>
        <v>100</v>
      </c>
      <c r="V27" s="701" t="s">
        <v>18</v>
      </c>
      <c r="W27" s="702">
        <f t="shared" si="14"/>
        <v>100</v>
      </c>
      <c r="X27" s="703"/>
      <c r="Y27" s="3904"/>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911"/>
      <c r="Q28" s="1352">
        <f t="shared" si="11"/>
        <v>111</v>
      </c>
      <c r="R28" s="705" t="s">
        <v>18</v>
      </c>
      <c r="S28" s="706">
        <f t="shared" si="12"/>
        <v>100</v>
      </c>
      <c r="T28" s="705" t="s">
        <v>18</v>
      </c>
      <c r="U28" s="706">
        <f t="shared" si="13"/>
        <v>100</v>
      </c>
      <c r="V28" s="705" t="s">
        <v>18</v>
      </c>
      <c r="W28" s="706">
        <f t="shared" si="14"/>
        <v>100</v>
      </c>
      <c r="X28" s="1355"/>
      <c r="Y28" s="3904"/>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911"/>
      <c r="Q29" s="1352">
        <f t="shared" si="11"/>
        <v>111</v>
      </c>
      <c r="R29" s="705" t="s">
        <v>18</v>
      </c>
      <c r="S29" s="706">
        <f t="shared" si="12"/>
        <v>100</v>
      </c>
      <c r="T29" s="705" t="s">
        <v>18</v>
      </c>
      <c r="U29" s="706">
        <f t="shared" si="13"/>
        <v>100</v>
      </c>
      <c r="V29" s="705" t="s">
        <v>18</v>
      </c>
      <c r="W29" s="706">
        <f t="shared" si="14"/>
        <v>100</v>
      </c>
      <c r="X29" s="1355"/>
      <c r="Y29" s="3904"/>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911"/>
      <c r="Q30" s="1352">
        <f t="shared" si="11"/>
        <v>111</v>
      </c>
      <c r="R30" s="705" t="s">
        <v>18</v>
      </c>
      <c r="S30" s="706">
        <f t="shared" si="12"/>
        <v>100</v>
      </c>
      <c r="T30" s="705" t="s">
        <v>18</v>
      </c>
      <c r="U30" s="706">
        <f t="shared" si="13"/>
        <v>100</v>
      </c>
      <c r="V30" s="705" t="s">
        <v>18</v>
      </c>
      <c r="W30" s="706">
        <f t="shared" si="14"/>
        <v>100</v>
      </c>
      <c r="X30" s="1355"/>
      <c r="Y30" s="3904"/>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911"/>
      <c r="Q31" s="1352">
        <f t="shared" si="11"/>
        <v>111</v>
      </c>
      <c r="R31" s="705" t="s">
        <v>18</v>
      </c>
      <c r="S31" s="706">
        <f t="shared" si="12"/>
        <v>100</v>
      </c>
      <c r="T31" s="705" t="s">
        <v>18</v>
      </c>
      <c r="U31" s="706">
        <f t="shared" si="13"/>
        <v>100</v>
      </c>
      <c r="V31" s="705" t="s">
        <v>18</v>
      </c>
      <c r="W31" s="706">
        <f t="shared" si="14"/>
        <v>100</v>
      </c>
      <c r="X31" s="1355"/>
      <c r="Y31" s="3904"/>
      <c r="Z31" s="1356">
        <f t="shared" si="18"/>
        <v>111</v>
      </c>
      <c r="AA31" s="1353">
        <f t="shared" si="15"/>
        <v>1</v>
      </c>
      <c r="AB31" s="1353">
        <f t="shared" si="16"/>
        <v>1</v>
      </c>
      <c r="AC31" s="1353">
        <f t="shared" si="17"/>
        <v>1</v>
      </c>
    </row>
    <row r="32" spans="1:29" ht="15">
      <c r="A32" s="391" t="s">
        <v>1692</v>
      </c>
      <c r="B32" s="63" t="s">
        <v>1693</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905" t="s">
        <v>1694</v>
      </c>
      <c r="Q32" s="1352" t="str">
        <f t="shared" si="11"/>
        <v>建筑类型</v>
      </c>
      <c r="R32" s="705" t="s">
        <v>18</v>
      </c>
      <c r="S32" s="706">
        <f t="shared" si="12"/>
        <v>100</v>
      </c>
      <c r="T32" s="705" t="s">
        <v>18</v>
      </c>
      <c r="U32" s="706">
        <f t="shared" si="13"/>
        <v>100</v>
      </c>
      <c r="V32" s="705" t="s">
        <v>18</v>
      </c>
      <c r="W32" s="706">
        <f t="shared" si="14"/>
        <v>100</v>
      </c>
      <c r="X32" s="1355"/>
      <c r="Y32" s="3908" t="s">
        <v>1694</v>
      </c>
      <c r="Z32" s="1356" t="str">
        <f t="shared" si="18"/>
        <v>建筑类型</v>
      </c>
      <c r="AA32" s="1353">
        <f t="shared" si="15"/>
        <v>1</v>
      </c>
      <c r="AB32" s="1353">
        <f t="shared" si="16"/>
        <v>1</v>
      </c>
      <c r="AC32" s="1353">
        <f t="shared" si="17"/>
        <v>1</v>
      </c>
    </row>
    <row r="33" spans="1:29" s="422" customFormat="1" ht="15">
      <c r="A33" s="419"/>
      <c r="B33" s="375" t="s">
        <v>1695</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906"/>
      <c r="Q33" s="707" t="str">
        <f t="shared" si="11"/>
        <v>项目建筑规模</v>
      </c>
      <c r="R33" s="708" t="s">
        <v>18</v>
      </c>
      <c r="S33" s="709" t="e">
        <f t="shared" si="12"/>
        <v>#N/A</v>
      </c>
      <c r="T33" s="708" t="s">
        <v>18</v>
      </c>
      <c r="U33" s="709" t="e">
        <f t="shared" si="13"/>
        <v>#N/A</v>
      </c>
      <c r="V33" s="708" t="s">
        <v>18</v>
      </c>
      <c r="W33" s="709" t="e">
        <f t="shared" si="14"/>
        <v>#N/A</v>
      </c>
      <c r="X33" s="710"/>
      <c r="Y33" s="3908"/>
      <c r="Z33" s="711" t="str">
        <f t="shared" si="18"/>
        <v>项目建筑规模</v>
      </c>
      <c r="AA33" s="1353" t="e">
        <f t="shared" si="15"/>
        <v>#N/A</v>
      </c>
      <c r="AB33" s="1353" t="e">
        <f t="shared" si="16"/>
        <v>#N/A</v>
      </c>
      <c r="AC33" s="1353" t="e">
        <f t="shared" si="17"/>
        <v>#N/A</v>
      </c>
    </row>
    <row r="34" spans="1:29" ht="15">
      <c r="A34" s="423"/>
      <c r="B34" s="375" t="s">
        <v>1696</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906"/>
      <c r="Q34" s="1352" t="str">
        <f t="shared" si="11"/>
        <v>建筑结构</v>
      </c>
      <c r="R34" s="705" t="s">
        <v>18</v>
      </c>
      <c r="S34" s="706">
        <f t="shared" si="12"/>
        <v>100</v>
      </c>
      <c r="T34" s="705" t="s">
        <v>18</v>
      </c>
      <c r="U34" s="706">
        <f t="shared" si="13"/>
        <v>100</v>
      </c>
      <c r="V34" s="705" t="s">
        <v>18</v>
      </c>
      <c r="W34" s="706">
        <f t="shared" si="14"/>
        <v>100</v>
      </c>
      <c r="X34" s="1355"/>
      <c r="Y34" s="3908"/>
      <c r="Z34" s="1356" t="str">
        <f t="shared" si="18"/>
        <v>建筑结构</v>
      </c>
      <c r="AA34" s="1353">
        <f t="shared" si="15"/>
        <v>1</v>
      </c>
      <c r="AB34" s="1353">
        <f t="shared" si="16"/>
        <v>1</v>
      </c>
      <c r="AC34" s="1353">
        <f t="shared" si="17"/>
        <v>1</v>
      </c>
    </row>
    <row r="35" spans="1:29" ht="15">
      <c r="A35" s="423"/>
      <c r="B35" s="375" t="s">
        <v>1697</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906"/>
      <c r="Q35" s="1352" t="str">
        <f t="shared" si="11"/>
        <v>建筑品质</v>
      </c>
      <c r="R35" s="705" t="s">
        <v>18</v>
      </c>
      <c r="S35" s="706">
        <f t="shared" si="12"/>
        <v>100</v>
      </c>
      <c r="T35" s="705" t="s">
        <v>18</v>
      </c>
      <c r="U35" s="706">
        <f t="shared" si="13"/>
        <v>100</v>
      </c>
      <c r="V35" s="705" t="s">
        <v>18</v>
      </c>
      <c r="W35" s="706">
        <f t="shared" si="14"/>
        <v>100</v>
      </c>
      <c r="X35" s="1355"/>
      <c r="Y35" s="3908"/>
      <c r="Z35" s="1356" t="str">
        <f t="shared" si="18"/>
        <v>建筑品质</v>
      </c>
      <c r="AA35" s="1353">
        <f t="shared" si="15"/>
        <v>1</v>
      </c>
      <c r="AB35" s="1353">
        <f t="shared" si="16"/>
        <v>1</v>
      </c>
      <c r="AC35" s="1353">
        <f t="shared" si="17"/>
        <v>1</v>
      </c>
    </row>
    <row r="36" spans="1:29" ht="15">
      <c r="A36" s="423"/>
      <c r="B36" s="375" t="s">
        <v>1698</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906"/>
      <c r="Q36" s="1352" t="str">
        <f t="shared" si="11"/>
        <v>公共部分装修</v>
      </c>
      <c r="R36" s="705" t="s">
        <v>18</v>
      </c>
      <c r="S36" s="706">
        <f t="shared" si="12"/>
        <v>100</v>
      </c>
      <c r="T36" s="705" t="s">
        <v>18</v>
      </c>
      <c r="U36" s="706">
        <f t="shared" si="13"/>
        <v>100</v>
      </c>
      <c r="V36" s="705" t="s">
        <v>18</v>
      </c>
      <c r="W36" s="706">
        <f t="shared" si="14"/>
        <v>100</v>
      </c>
      <c r="X36" s="1355"/>
      <c r="Y36" s="3908"/>
      <c r="Z36" s="1356" t="str">
        <f t="shared" si="18"/>
        <v>公共部分装修</v>
      </c>
      <c r="AA36" s="1353">
        <f t="shared" si="15"/>
        <v>1</v>
      </c>
      <c r="AB36" s="1353">
        <f t="shared" si="16"/>
        <v>1</v>
      </c>
      <c r="AC36" s="1353">
        <f t="shared" si="17"/>
        <v>1</v>
      </c>
    </row>
    <row r="37" spans="1:29" s="108" customFormat="1" ht="15">
      <c r="A37" s="424"/>
      <c r="B37" s="375" t="s">
        <v>1699</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906"/>
      <c r="Q37" s="1343" t="str">
        <f t="shared" si="11"/>
        <v>成新度</v>
      </c>
      <c r="R37" s="701" t="s">
        <v>18</v>
      </c>
      <c r="S37" s="702" t="e">
        <f t="shared" si="12"/>
        <v>#N/A</v>
      </c>
      <c r="T37" s="701" t="s">
        <v>18</v>
      </c>
      <c r="U37" s="702" t="e">
        <f t="shared" si="13"/>
        <v>#N/A</v>
      </c>
      <c r="V37" s="701" t="s">
        <v>18</v>
      </c>
      <c r="W37" s="702" t="e">
        <f t="shared" si="14"/>
        <v>#N/A</v>
      </c>
      <c r="X37" s="703"/>
      <c r="Y37" s="3908"/>
      <c r="Z37" s="52" t="str">
        <f t="shared" si="18"/>
        <v>成新度</v>
      </c>
      <c r="AA37" s="704" t="e">
        <f t="shared" si="15"/>
        <v>#N/A</v>
      </c>
      <c r="AB37" s="704" t="e">
        <f t="shared" si="16"/>
        <v>#N/A</v>
      </c>
      <c r="AC37" s="704" t="e">
        <f t="shared" si="17"/>
        <v>#N/A</v>
      </c>
    </row>
    <row r="38" spans="1:29" ht="15">
      <c r="A38" s="423"/>
      <c r="B38" s="375" t="s">
        <v>1700</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906" t="s">
        <v>1694</v>
      </c>
      <c r="Q38" s="1352" t="str">
        <f t="shared" si="11"/>
        <v>物业管理</v>
      </c>
      <c r="R38" s="705" t="s">
        <v>18</v>
      </c>
      <c r="S38" s="706">
        <f t="shared" si="12"/>
        <v>100</v>
      </c>
      <c r="T38" s="705" t="s">
        <v>18</v>
      </c>
      <c r="U38" s="706">
        <f t="shared" si="13"/>
        <v>100</v>
      </c>
      <c r="V38" s="705" t="s">
        <v>18</v>
      </c>
      <c r="W38" s="706">
        <f t="shared" si="14"/>
        <v>100</v>
      </c>
      <c r="X38" s="1355"/>
      <c r="Y38" s="3908" t="s">
        <v>1694</v>
      </c>
      <c r="Z38" s="1356" t="str">
        <f t="shared" si="18"/>
        <v>物业管理</v>
      </c>
      <c r="AA38" s="1353">
        <f t="shared" si="15"/>
        <v>1</v>
      </c>
      <c r="AB38" s="1353">
        <f t="shared" si="16"/>
        <v>1</v>
      </c>
      <c r="AC38" s="1353">
        <f t="shared" si="17"/>
        <v>1</v>
      </c>
    </row>
    <row r="39" spans="1:29" ht="15">
      <c r="A39" s="423"/>
      <c r="B39" s="375" t="s">
        <v>1701</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906"/>
      <c r="Q39" s="1352" t="str">
        <f t="shared" si="11"/>
        <v>市政基础设施</v>
      </c>
      <c r="R39" s="705" t="s">
        <v>18</v>
      </c>
      <c r="S39" s="706">
        <f t="shared" si="12"/>
        <v>100</v>
      </c>
      <c r="T39" s="705" t="s">
        <v>18</v>
      </c>
      <c r="U39" s="706">
        <f t="shared" si="13"/>
        <v>100</v>
      </c>
      <c r="V39" s="705" t="s">
        <v>18</v>
      </c>
      <c r="W39" s="706">
        <f t="shared" si="14"/>
        <v>100</v>
      </c>
      <c r="X39" s="1355"/>
      <c r="Y39" s="3908"/>
      <c r="Z39" s="1356" t="str">
        <f t="shared" si="18"/>
        <v>市政基础设施</v>
      </c>
      <c r="AA39" s="1353">
        <f t="shared" si="15"/>
        <v>1</v>
      </c>
      <c r="AB39" s="1353">
        <f t="shared" si="16"/>
        <v>1</v>
      </c>
      <c r="AC39" s="1353">
        <f t="shared" si="17"/>
        <v>1</v>
      </c>
    </row>
    <row r="40" spans="1:29" ht="15">
      <c r="A40" s="423"/>
      <c r="B40" s="375" t="s">
        <v>1702</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906"/>
      <c r="Q40" s="1352" t="str">
        <f t="shared" si="11"/>
        <v>房型</v>
      </c>
      <c r="R40" s="705" t="s">
        <v>18</v>
      </c>
      <c r="S40" s="706">
        <f t="shared" si="12"/>
        <v>100</v>
      </c>
      <c r="T40" s="705" t="s">
        <v>18</v>
      </c>
      <c r="U40" s="706">
        <f t="shared" si="13"/>
        <v>100</v>
      </c>
      <c r="V40" s="705" t="s">
        <v>18</v>
      </c>
      <c r="W40" s="706">
        <f t="shared" si="14"/>
        <v>100</v>
      </c>
      <c r="X40" s="1355"/>
      <c r="Y40" s="3908"/>
      <c r="Z40" s="1356" t="str">
        <f t="shared" si="18"/>
        <v>房型</v>
      </c>
      <c r="AA40" s="1353">
        <f t="shared" si="15"/>
        <v>1</v>
      </c>
      <c r="AB40" s="1353">
        <f t="shared" si="16"/>
        <v>1</v>
      </c>
      <c r="AC40" s="1353">
        <f t="shared" si="17"/>
        <v>1</v>
      </c>
    </row>
    <row r="41" spans="1:29" s="422" customFormat="1" ht="28.5">
      <c r="A41" s="419"/>
      <c r="B41" s="375" t="s">
        <v>1703</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906"/>
      <c r="Q41" s="707" t="str">
        <f t="shared" si="11"/>
        <v>单套/主力户型建筑面积</v>
      </c>
      <c r="R41" s="708" t="s">
        <v>18</v>
      </c>
      <c r="S41" s="709">
        <f t="shared" si="12"/>
        <v>100</v>
      </c>
      <c r="T41" s="708" t="s">
        <v>18</v>
      </c>
      <c r="U41" s="709">
        <f t="shared" si="13"/>
        <v>100</v>
      </c>
      <c r="V41" s="708" t="s">
        <v>18</v>
      </c>
      <c r="W41" s="709">
        <f t="shared" si="14"/>
        <v>100</v>
      </c>
      <c r="X41" s="710"/>
      <c r="Y41" s="3908"/>
      <c r="Z41" s="711" t="str">
        <f t="shared" si="18"/>
        <v>单套/主力户型建筑面积</v>
      </c>
      <c r="AA41" s="1353">
        <f t="shared" si="15"/>
        <v>1</v>
      </c>
      <c r="AB41" s="1353">
        <f t="shared" si="16"/>
        <v>1</v>
      </c>
      <c r="AC41" s="1353">
        <f t="shared" si="17"/>
        <v>1</v>
      </c>
    </row>
    <row r="42" spans="1:29" ht="15">
      <c r="A42" s="423"/>
      <c r="B42" s="375" t="s">
        <v>1704</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906"/>
      <c r="Q42" s="1352" t="str">
        <f t="shared" si="11"/>
        <v>内部装修</v>
      </c>
      <c r="R42" s="705" t="s">
        <v>18</v>
      </c>
      <c r="S42" s="706">
        <f t="shared" si="12"/>
        <v>100</v>
      </c>
      <c r="T42" s="705" t="s">
        <v>18</v>
      </c>
      <c r="U42" s="706">
        <f t="shared" si="13"/>
        <v>100</v>
      </c>
      <c r="V42" s="705" t="s">
        <v>18</v>
      </c>
      <c r="W42" s="706">
        <f t="shared" si="14"/>
        <v>100</v>
      </c>
      <c r="X42" s="1355"/>
      <c r="Y42" s="3908"/>
      <c r="Z42" s="1356" t="str">
        <f t="shared" si="18"/>
        <v>内部装修</v>
      </c>
      <c r="AA42" s="1353">
        <f t="shared" si="15"/>
        <v>1</v>
      </c>
      <c r="AB42" s="1353">
        <f t="shared" si="16"/>
        <v>1</v>
      </c>
      <c r="AC42" s="1353">
        <f t="shared" si="17"/>
        <v>1</v>
      </c>
    </row>
    <row r="43" spans="1:29" ht="15">
      <c r="A43" s="423"/>
      <c r="B43" s="375" t="s">
        <v>1705</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906"/>
      <c r="Q43" s="1352" t="str">
        <f t="shared" si="11"/>
        <v>内部装修维护情况</v>
      </c>
      <c r="R43" s="705" t="s">
        <v>18</v>
      </c>
      <c r="S43" s="706">
        <f t="shared" si="12"/>
        <v>100</v>
      </c>
      <c r="T43" s="705" t="s">
        <v>18</v>
      </c>
      <c r="U43" s="706">
        <f t="shared" si="13"/>
        <v>100</v>
      </c>
      <c r="V43" s="705" t="s">
        <v>18</v>
      </c>
      <c r="W43" s="706">
        <f t="shared" si="14"/>
        <v>100</v>
      </c>
      <c r="X43" s="1355"/>
      <c r="Y43" s="3908"/>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906"/>
      <c r="Q44" s="1343">
        <f t="shared" si="11"/>
        <v>111</v>
      </c>
      <c r="R44" s="701" t="s">
        <v>18</v>
      </c>
      <c r="S44" s="702">
        <f t="shared" si="12"/>
        <v>100</v>
      </c>
      <c r="T44" s="701" t="s">
        <v>18</v>
      </c>
      <c r="U44" s="702">
        <f t="shared" si="13"/>
        <v>100</v>
      </c>
      <c r="V44" s="701" t="s">
        <v>18</v>
      </c>
      <c r="W44" s="702">
        <f t="shared" si="14"/>
        <v>100</v>
      </c>
      <c r="X44" s="703"/>
      <c r="Y44" s="3908"/>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906"/>
      <c r="Q45" s="1352">
        <f t="shared" si="11"/>
        <v>111</v>
      </c>
      <c r="R45" s="705" t="s">
        <v>18</v>
      </c>
      <c r="S45" s="706">
        <f t="shared" si="12"/>
        <v>100</v>
      </c>
      <c r="T45" s="705" t="s">
        <v>18</v>
      </c>
      <c r="U45" s="706">
        <f t="shared" si="13"/>
        <v>100</v>
      </c>
      <c r="V45" s="705" t="s">
        <v>18</v>
      </c>
      <c r="W45" s="706">
        <f t="shared" si="14"/>
        <v>100</v>
      </c>
      <c r="X45" s="1355"/>
      <c r="Y45" s="3908"/>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907"/>
      <c r="Q46" s="1352">
        <f t="shared" si="11"/>
        <v>111</v>
      </c>
      <c r="R46" s="705" t="s">
        <v>17</v>
      </c>
      <c r="S46" s="706">
        <f t="shared" si="12"/>
        <v>100</v>
      </c>
      <c r="T46" s="705" t="s">
        <v>17</v>
      </c>
      <c r="U46" s="706">
        <f t="shared" si="13"/>
        <v>100</v>
      </c>
      <c r="V46" s="705" t="s">
        <v>17</v>
      </c>
      <c r="W46" s="706">
        <f t="shared" si="14"/>
        <v>100</v>
      </c>
      <c r="X46" s="1355"/>
      <c r="Y46" s="3909"/>
      <c r="Z46" s="1356">
        <f t="shared" si="18"/>
        <v>111</v>
      </c>
      <c r="AA46" s="1353">
        <f t="shared" si="15"/>
        <v>1</v>
      </c>
      <c r="AB46" s="1353">
        <f t="shared" si="16"/>
        <v>1</v>
      </c>
      <c r="AC46" s="1353">
        <f t="shared" si="17"/>
        <v>1</v>
      </c>
    </row>
    <row r="47" spans="1:29" ht="15">
      <c r="A47" s="430" t="s">
        <v>1706</v>
      </c>
      <c r="B47" s="431"/>
      <c r="C47" s="1154" t="s">
        <v>16</v>
      </c>
      <c r="D47" s="1155"/>
      <c r="E47" s="1156"/>
      <c r="F47" s="1157"/>
      <c r="G47" s="1158"/>
      <c r="H47" s="1159"/>
      <c r="I47" s="1156"/>
      <c r="J47" s="1159"/>
      <c r="K47" s="1914"/>
      <c r="L47" s="2724"/>
      <c r="M47" s="2725"/>
      <c r="N47" s="2716"/>
      <c r="O47" s="2725"/>
      <c r="P47" s="3901" t="str">
        <f>A47</f>
        <v>成交单价（元/平方米）</v>
      </c>
      <c r="Q47" s="3901"/>
      <c r="R47" s="3902">
        <f>E47</f>
        <v>0</v>
      </c>
      <c r="S47" s="3902"/>
      <c r="T47" s="3902">
        <f>G47</f>
        <v>0</v>
      </c>
      <c r="U47" s="3902"/>
      <c r="V47" s="3902">
        <f>I47</f>
        <v>0</v>
      </c>
      <c r="W47" s="3902"/>
      <c r="X47" s="690"/>
      <c r="Y47" s="712"/>
      <c r="Z47" s="690"/>
      <c r="AA47" s="690"/>
      <c r="AB47" s="690"/>
      <c r="AC47" s="690"/>
    </row>
    <row r="48" spans="1:29" ht="15.75" thickBot="1">
      <c r="A48" s="437" t="s">
        <v>1707</v>
      </c>
      <c r="B48" s="438"/>
      <c r="C48" s="1160" t="e">
        <f>R49</f>
        <v>#DIV/0!</v>
      </c>
      <c r="D48" s="2317" t="s">
        <v>2135</v>
      </c>
      <c r="E48" s="1161" t="e">
        <f>R48</f>
        <v>#DIV/0!</v>
      </c>
      <c r="F48" s="2318"/>
      <c r="G48" s="1160" t="e">
        <f>T48</f>
        <v>#DIV/0!</v>
      </c>
      <c r="H48" s="2318"/>
      <c r="I48" s="1161" t="e">
        <f>V48</f>
        <v>#DIV/0!</v>
      </c>
      <c r="J48" s="2318"/>
      <c r="K48" s="2319">
        <f>F48+H48+J48</f>
        <v>0</v>
      </c>
      <c r="L48" s="2724"/>
      <c r="M48" s="2725"/>
      <c r="N48" s="2725"/>
      <c r="O48" s="2725"/>
      <c r="P48" s="3901" t="str">
        <f>A48</f>
        <v>比较价值（元/平方米）</v>
      </c>
      <c r="Q48" s="3901"/>
      <c r="R48" s="3902" t="e">
        <f>IF(F1="售价",ROUND(PRODUCT(R47,AA7:AA46),0),ROUND(PRODUCT(R47,AA7:AA46),1))</f>
        <v>#DIV/0!</v>
      </c>
      <c r="S48" s="3902"/>
      <c r="T48" s="3902" t="e">
        <f>IF(F1="售价",ROUND(PRODUCT(T47,AB7:AB46),0),ROUND(PRODUCT(T47,AB7:AB46),1))</f>
        <v>#DIV/0!</v>
      </c>
      <c r="U48" s="3902"/>
      <c r="V48" s="3902" t="e">
        <f>IF(F1="售价",ROUND(PRODUCT(V47,AC7:AC46),0),ROUND(PRODUCT(V47,AC7:AC46),1))</f>
        <v>#DIV/0!</v>
      </c>
      <c r="W48" s="3902"/>
      <c r="X48" s="690"/>
      <c r="Y48" s="690"/>
      <c r="Z48" s="690"/>
      <c r="AA48" s="690"/>
      <c r="AB48" s="690"/>
      <c r="AC48" s="690"/>
    </row>
    <row r="49" spans="1:29" ht="15.75" thickBot="1">
      <c r="A49" s="441" t="s">
        <v>1708</v>
      </c>
      <c r="B49" s="442"/>
      <c r="C49" s="1162" t="e">
        <f>R49</f>
        <v>#DIV/0!</v>
      </c>
      <c r="D49" s="1163"/>
      <c r="E49" s="1163"/>
      <c r="F49" s="1163"/>
      <c r="G49" s="1163"/>
      <c r="H49" s="1163"/>
      <c r="I49" s="1163"/>
      <c r="J49" s="1163"/>
      <c r="K49" s="1915"/>
      <c r="L49" s="2724"/>
      <c r="M49" s="2725"/>
      <c r="N49" s="2725"/>
      <c r="O49" s="2725"/>
      <c r="P49" s="3898" t="str">
        <f>A49</f>
        <v>估价对象XX用房的比较价值（楼面单价，元/平方米）</v>
      </c>
      <c r="Q49" s="3899"/>
      <c r="R49" s="3900" t="e">
        <f>IF(F1="售价",ROUND(IF(D48="简单平均",AVERAGE(R48:V48),R48*F48+T48*H48+V48*J48),0),ROUND(IF(D48="简单平均",AVERAGE(R48:V48),R48*F48+T48*H48+V48*J48),1))</f>
        <v>#DIV/0!</v>
      </c>
      <c r="S49" s="3900"/>
      <c r="T49" s="3900"/>
      <c r="U49" s="3900"/>
      <c r="V49" s="3900"/>
      <c r="W49" s="3900"/>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1709</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1710</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1711</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1712</v>
      </c>
      <c r="B57" s="690"/>
      <c r="C57" s="695"/>
      <c r="D57" s="695"/>
      <c r="E57" s="695"/>
      <c r="F57" s="696"/>
      <c r="G57" s="696"/>
      <c r="H57" s="695"/>
      <c r="I57" s="695"/>
      <c r="J57" s="695"/>
      <c r="K57" s="941"/>
      <c r="L57" s="942"/>
      <c r="M57" s="940"/>
      <c r="N57" s="940"/>
      <c r="O57" s="940"/>
      <c r="P57" s="1918"/>
      <c r="Q57" s="453"/>
    </row>
    <row r="58" spans="1:29" s="457" customFormat="1" ht="15">
      <c r="A58" s="454" t="s">
        <v>1713</v>
      </c>
      <c r="B58" s="455"/>
      <c r="C58" s="1186" t="str">
        <f>YEAR(C7)&amp;"-"&amp;MONTH(C7)</f>
        <v>2024-4</v>
      </c>
      <c r="D58" s="1185">
        <f>EDATE(C58,-1)</f>
        <v>45352</v>
      </c>
      <c r="E58" s="1185">
        <f>EDATE(D58,-1)</f>
        <v>45323</v>
      </c>
      <c r="F58" s="1185">
        <f t="shared" ref="F58:O58" si="19">EDATE(E58,-1)</f>
        <v>45292</v>
      </c>
      <c r="G58" s="1185">
        <f t="shared" si="19"/>
        <v>45261</v>
      </c>
      <c r="H58" s="1185">
        <f t="shared" si="19"/>
        <v>45231</v>
      </c>
      <c r="I58" s="1185">
        <f t="shared" si="19"/>
        <v>45200</v>
      </c>
      <c r="J58" s="1185">
        <f t="shared" si="19"/>
        <v>45170</v>
      </c>
      <c r="K58" s="1185">
        <f t="shared" si="19"/>
        <v>45139</v>
      </c>
      <c r="L58" s="1185">
        <f t="shared" si="19"/>
        <v>45108</v>
      </c>
      <c r="M58" s="1185">
        <f t="shared" si="19"/>
        <v>45078</v>
      </c>
      <c r="N58" s="1185">
        <f t="shared" si="19"/>
        <v>45047</v>
      </c>
      <c r="O58" s="1185">
        <f t="shared" si="19"/>
        <v>45017</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1714</v>
      </c>
      <c r="B60" s="465"/>
      <c r="C60" s="466"/>
      <c r="D60" s="467"/>
      <c r="E60" s="467"/>
      <c r="F60" s="467"/>
      <c r="G60" s="467"/>
      <c r="H60" s="467"/>
      <c r="I60" s="467"/>
      <c r="J60" s="467"/>
      <c r="K60" s="467"/>
      <c r="L60" s="467"/>
      <c r="M60" s="468"/>
      <c r="N60" s="467"/>
      <c r="O60" s="468"/>
      <c r="P60" s="1920"/>
      <c r="Q60" s="453"/>
    </row>
    <row r="61" spans="1:29" s="108" customFormat="1" ht="15">
      <c r="A61" s="470" t="s">
        <v>1715</v>
      </c>
      <c r="B61" s="459"/>
      <c r="C61" s="471" t="s">
        <v>1716</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1717</v>
      </c>
      <c r="B63" s="477" t="s">
        <v>1683</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1686</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1687</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1688</v>
      </c>
      <c r="B76" s="477" t="s">
        <v>1718</v>
      </c>
      <c r="C76" s="522" t="s">
        <v>1719</v>
      </c>
      <c r="D76" s="522" t="s">
        <v>1720</v>
      </c>
      <c r="E76" s="522" t="s">
        <v>1721</v>
      </c>
      <c r="F76" s="522" t="s">
        <v>1722</v>
      </c>
      <c r="G76" s="522" t="s">
        <v>1723</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1724</v>
      </c>
      <c r="C78" s="527" t="s">
        <v>1719</v>
      </c>
      <c r="D78" s="527" t="s">
        <v>1720</v>
      </c>
      <c r="E78" s="527" t="s">
        <v>1721</v>
      </c>
      <c r="F78" s="527" t="s">
        <v>1722</v>
      </c>
      <c r="G78" s="527" t="s">
        <v>1723</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1725</v>
      </c>
      <c r="C80" s="527" t="s">
        <v>1719</v>
      </c>
      <c r="D80" s="527" t="s">
        <v>1720</v>
      </c>
      <c r="E80" s="527" t="s">
        <v>1721</v>
      </c>
      <c r="F80" s="527" t="s">
        <v>1722</v>
      </c>
      <c r="G80" s="527" t="s">
        <v>1723</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1258</v>
      </c>
      <c r="C82" s="488" t="s">
        <v>1726</v>
      </c>
      <c r="D82" s="488" t="s">
        <v>1727</v>
      </c>
      <c r="E82" s="488" t="s">
        <v>1728</v>
      </c>
      <c r="F82" s="488" t="s">
        <v>1729</v>
      </c>
      <c r="G82" s="488" t="s">
        <v>1730</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1731</v>
      </c>
      <c r="C84" s="527" t="s">
        <v>1719</v>
      </c>
      <c r="D84" s="527" t="s">
        <v>1720</v>
      </c>
      <c r="E84" s="527" t="s">
        <v>1721</v>
      </c>
      <c r="F84" s="527" t="s">
        <v>1722</v>
      </c>
      <c r="G84" s="527" t="s">
        <v>1723</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1732</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1733</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1692</v>
      </c>
      <c r="B100" s="477" t="s">
        <v>1734</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1735</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1736</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1737</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1738</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1739</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1740</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1741</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1703</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1742</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1743</v>
      </c>
      <c r="C124" s="527" t="s">
        <v>1719</v>
      </c>
      <c r="D124" s="527" t="s">
        <v>1720</v>
      </c>
      <c r="E124" s="527" t="s">
        <v>1721</v>
      </c>
      <c r="F124" s="527" t="s">
        <v>1722</v>
      </c>
      <c r="G124" s="527" t="s">
        <v>1723</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1744</v>
      </c>
    </row>
    <row r="137" spans="1:17" ht="15">
      <c r="B137" s="1930" t="s">
        <v>1745</v>
      </c>
      <c r="C137" s="1931"/>
      <c r="D137" s="1931"/>
      <c r="E137" s="1931"/>
      <c r="F137" s="1931"/>
      <c r="G137" s="1932"/>
      <c r="H137" s="1933"/>
      <c r="I137" s="1934" t="s">
        <v>1746</v>
      </c>
      <c r="J137" s="1931"/>
      <c r="K137" s="1935"/>
    </row>
    <row r="138" spans="1:17" ht="15">
      <c r="B138" s="1936"/>
      <c r="C138" s="137" t="s">
        <v>1747</v>
      </c>
      <c r="D138" s="137" t="s">
        <v>1748</v>
      </c>
      <c r="E138" s="1937" t="s">
        <v>1749</v>
      </c>
      <c r="F138" s="1938" t="s">
        <v>1750</v>
      </c>
      <c r="G138" s="137" t="s">
        <v>1748</v>
      </c>
      <c r="H138" s="138" t="s">
        <v>1749</v>
      </c>
      <c r="I138" s="1939"/>
      <c r="J138" s="137" t="s">
        <v>1751</v>
      </c>
      <c r="K138" s="138" t="s">
        <v>1752</v>
      </c>
    </row>
    <row r="139" spans="1:17" ht="15">
      <c r="B139" s="867">
        <v>6</v>
      </c>
      <c r="C139" s="868">
        <v>96</v>
      </c>
      <c r="D139" s="1940" t="s">
        <v>1753</v>
      </c>
      <c r="E139" s="869">
        <v>100</v>
      </c>
      <c r="F139" s="870">
        <v>102.5</v>
      </c>
      <c r="G139" s="1940" t="s">
        <v>1753</v>
      </c>
      <c r="H139" s="871">
        <v>105</v>
      </c>
      <c r="I139" s="1941" t="s">
        <v>1754</v>
      </c>
      <c r="J139" s="868">
        <v>20</v>
      </c>
      <c r="K139" s="872">
        <f>C145/(J139-2)</f>
        <v>4.0555555555555553E-3</v>
      </c>
    </row>
    <row r="140" spans="1:17" ht="15">
      <c r="B140" s="873">
        <v>5</v>
      </c>
      <c r="C140" s="874">
        <v>100</v>
      </c>
      <c r="D140" s="874"/>
      <c r="E140" s="875"/>
      <c r="F140" s="876">
        <v>102</v>
      </c>
      <c r="G140" s="874"/>
      <c r="H140" s="877"/>
      <c r="I140" s="1942" t="s">
        <v>1755</v>
      </c>
      <c r="J140" s="271">
        <f>ROUNDUP((J139-1)/2,0)</f>
        <v>10</v>
      </c>
      <c r="K140" s="878">
        <v>100</v>
      </c>
    </row>
    <row r="141" spans="1:17" ht="15">
      <c r="B141" s="873">
        <v>4</v>
      </c>
      <c r="C141" s="874">
        <v>102</v>
      </c>
      <c r="D141" s="874"/>
      <c r="E141" s="875"/>
      <c r="F141" s="876">
        <v>101.5</v>
      </c>
      <c r="G141" s="874"/>
      <c r="H141" s="877"/>
      <c r="I141" s="1942" t="s">
        <v>1756</v>
      </c>
      <c r="J141" s="271">
        <v>1</v>
      </c>
      <c r="K141" s="879">
        <f>ROUND(100+(J141-J140)*K139*100,1)</f>
        <v>96.4</v>
      </c>
    </row>
    <row r="142" spans="1:17" ht="15">
      <c r="B142" s="873">
        <v>3</v>
      </c>
      <c r="C142" s="874">
        <v>103</v>
      </c>
      <c r="D142" s="874"/>
      <c r="E142" s="875"/>
      <c r="F142" s="876">
        <v>101</v>
      </c>
      <c r="G142" s="874"/>
      <c r="H142" s="877"/>
      <c r="I142" s="1942" t="s">
        <v>1757</v>
      </c>
      <c r="J142" s="271">
        <f>J139</f>
        <v>20</v>
      </c>
      <c r="K142" s="880">
        <v>95</v>
      </c>
    </row>
    <row r="143" spans="1:17" ht="15">
      <c r="B143" s="873">
        <v>2</v>
      </c>
      <c r="C143" s="874">
        <v>100</v>
      </c>
      <c r="D143" s="874"/>
      <c r="E143" s="875"/>
      <c r="F143" s="876">
        <v>100.5</v>
      </c>
      <c r="G143" s="874"/>
      <c r="H143" s="877"/>
      <c r="I143" s="1942" t="s">
        <v>1758</v>
      </c>
      <c r="J143" s="874">
        <v>15</v>
      </c>
      <c r="K143" s="879">
        <f>ROUND(100+(J143-J140)*K139*100,1)</f>
        <v>102</v>
      </c>
    </row>
    <row r="144" spans="1:17" ht="15">
      <c r="B144" s="873">
        <v>1</v>
      </c>
      <c r="C144" s="874">
        <v>98</v>
      </c>
      <c r="D144" s="1943" t="s">
        <v>1759</v>
      </c>
      <c r="E144" s="875">
        <v>102</v>
      </c>
      <c r="F144" s="881">
        <v>100</v>
      </c>
      <c r="G144" s="1943" t="s">
        <v>1759</v>
      </c>
      <c r="H144" s="877">
        <v>105</v>
      </c>
      <c r="I144" s="1942" t="s">
        <v>1758</v>
      </c>
      <c r="J144" s="874">
        <v>18</v>
      </c>
      <c r="K144" s="879">
        <f>ROUND(100+(J144-J140)*K139*100,1)</f>
        <v>103.2</v>
      </c>
    </row>
    <row r="145" spans="2:11" ht="15.75" thickBot="1">
      <c r="B145" s="1944" t="s">
        <v>1760</v>
      </c>
      <c r="C145" s="882">
        <f>ROUND(MAX(C139:C144)/MIN(C139:C144)-1,3)</f>
        <v>7.2999999999999995E-2</v>
      </c>
      <c r="D145" s="883"/>
      <c r="E145" s="883"/>
      <c r="F145" s="1945" t="s">
        <v>1761</v>
      </c>
      <c r="G145" s="1946"/>
      <c r="H145" s="1947"/>
      <c r="I145" s="1948" t="s">
        <v>1758</v>
      </c>
      <c r="J145" s="884">
        <v>8</v>
      </c>
      <c r="K145" s="885">
        <f>ROUND(100+(J145-J140)*K139*100,1)</f>
        <v>99.2</v>
      </c>
    </row>
    <row r="147" spans="2:11">
      <c r="B147" s="1929" t="s">
        <v>1762</v>
      </c>
    </row>
    <row r="148" spans="2:11">
      <c r="B148" s="1929" t="s">
        <v>1763</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91" priority="19" stopIfTrue="1" operator="containsText" text="超过">
      <formula>NOT(ISERROR(SEARCH("超过",F52)))</formula>
    </cfRule>
  </conditionalFormatting>
  <conditionalFormatting sqref="J54">
    <cfRule type="containsText" dxfId="190" priority="18" stopIfTrue="1" operator="containsText" text="超过">
      <formula>NOT(ISERROR(SEARCH("超过",J54)))</formula>
    </cfRule>
  </conditionalFormatting>
  <conditionalFormatting sqref="H54">
    <cfRule type="containsText" dxfId="189" priority="17" stopIfTrue="1" operator="containsText" text="超过">
      <formula>NOT(ISERROR(SEARCH("超过",H54)))</formula>
    </cfRule>
  </conditionalFormatting>
  <conditionalFormatting sqref="F54">
    <cfRule type="containsText" dxfId="188" priority="16" stopIfTrue="1" operator="containsText" text="超过">
      <formula>NOT(ISERROR(SEARCH("超过",F54)))</formula>
    </cfRule>
  </conditionalFormatting>
  <conditionalFormatting sqref="F53 H53 J53">
    <cfRule type="containsText" dxfId="187" priority="15" stopIfTrue="1" operator="containsText" text="超过">
      <formula>NOT(ISERROR(SEARCH("超过",F53)))</formula>
    </cfRule>
  </conditionalFormatting>
  <conditionalFormatting sqref="E52">
    <cfRule type="expression" dxfId="186" priority="14" stopIfTrue="1">
      <formula>$F$52="超过30%"</formula>
    </cfRule>
  </conditionalFormatting>
  <conditionalFormatting sqref="G54">
    <cfRule type="expression" dxfId="185" priority="12" stopIfTrue="1">
      <formula>$H$54="超过30%"</formula>
    </cfRule>
  </conditionalFormatting>
  <conditionalFormatting sqref="E53">
    <cfRule type="expression" dxfId="184" priority="11" stopIfTrue="1">
      <formula>$F$53="超过20%"</formula>
    </cfRule>
  </conditionalFormatting>
  <conditionalFormatting sqref="E54">
    <cfRule type="expression" dxfId="183" priority="10" stopIfTrue="1">
      <formula>$F$54="超过30%"</formula>
    </cfRule>
  </conditionalFormatting>
  <conditionalFormatting sqref="G52">
    <cfRule type="expression" dxfId="182" priority="9" stopIfTrue="1">
      <formula>$H$52="超过30%"</formula>
    </cfRule>
  </conditionalFormatting>
  <conditionalFormatting sqref="G53">
    <cfRule type="expression" dxfId="181" priority="8" stopIfTrue="1">
      <formula>$H$53="超过20%"</formula>
    </cfRule>
  </conditionalFormatting>
  <conditionalFormatting sqref="I52">
    <cfRule type="expression" dxfId="180" priority="7" stopIfTrue="1">
      <formula>$J$52="超过30%"</formula>
    </cfRule>
  </conditionalFormatting>
  <conditionalFormatting sqref="I53">
    <cfRule type="expression" dxfId="179" priority="6" stopIfTrue="1">
      <formula>$J$53="超过20%"</formula>
    </cfRule>
  </conditionalFormatting>
  <conditionalFormatting sqref="I54">
    <cfRule type="expression" dxfId="178" priority="5" stopIfTrue="1">
      <formula>$J$54="超过30%"</formula>
    </cfRule>
  </conditionalFormatting>
  <conditionalFormatting sqref="F48">
    <cfRule type="expression" dxfId="177" priority="4">
      <formula>$D$48="简单平均"</formula>
    </cfRule>
  </conditionalFormatting>
  <conditionalFormatting sqref="H48">
    <cfRule type="expression" dxfId="176" priority="3">
      <formula>$D$48="简单平均"</formula>
    </cfRule>
  </conditionalFormatting>
  <conditionalFormatting sqref="J48">
    <cfRule type="expression" dxfId="175" priority="2">
      <formula>$D$48="简单平均"</formula>
    </cfRule>
  </conditionalFormatting>
  <conditionalFormatting sqref="F7:F46 H7:H46 J7:J46">
    <cfRule type="cellIs" dxfId="17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109" zoomScale="85" zoomScaleNormal="100" zoomScaleSheetLayoutView="85" zoomScalePageLayoutView="80" workbookViewId="0">
      <selection activeCell="D27" sqref="D2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1260</v>
      </c>
      <c r="B1" s="1747"/>
      <c r="C1" s="1748" t="s">
        <v>3645</v>
      </c>
      <c r="D1" s="1747"/>
      <c r="E1" s="1747"/>
      <c r="F1" s="1749" t="s">
        <v>1261</v>
      </c>
      <c r="G1" s="1561"/>
      <c r="H1" s="1750" t="str">
        <f>IF(G1="现房","——","估价对象范围")</f>
        <v>估价对象范围</v>
      </c>
      <c r="I1" s="1751"/>
    </row>
    <row r="2" spans="1:12" ht="21.75" customHeight="1" thickBot="1">
      <c r="A2" s="3790" t="str">
        <f>项目基本情况!S2</f>
        <v>北京市房地产</v>
      </c>
      <c r="B2" s="3791"/>
      <c r="C2" s="3791"/>
      <c r="D2" s="3791"/>
      <c r="E2" s="3791"/>
      <c r="F2" s="3791"/>
      <c r="G2" s="3791"/>
      <c r="H2" s="3791"/>
      <c r="I2" s="3792"/>
    </row>
    <row r="3" spans="1:12" ht="12.75">
      <c r="A3" s="3794" t="s">
        <v>1262</v>
      </c>
      <c r="B3" s="3795"/>
      <c r="C3" s="3795"/>
      <c r="D3" s="3795"/>
      <c r="E3" s="3795"/>
      <c r="F3" s="3795"/>
      <c r="G3" s="3795"/>
      <c r="H3" s="3795"/>
      <c r="I3" s="3795"/>
    </row>
    <row r="4" spans="1:12" ht="14.25">
      <c r="A4" s="1754" t="s">
        <v>1263</v>
      </c>
      <c r="B4" s="1755" t="s">
        <v>1264</v>
      </c>
      <c r="C4" s="1756" t="s">
        <v>3657</v>
      </c>
      <c r="D4" s="1756" t="s">
        <v>3655</v>
      </c>
      <c r="E4" s="3796" t="s">
        <v>1265</v>
      </c>
      <c r="F4" s="3797"/>
      <c r="G4" s="3797"/>
      <c r="H4" s="3797"/>
      <c r="I4" s="3798"/>
      <c r="K4" s="146" t="str">
        <f>IF(ISNUMBER(FIND("比较法",'结果表(划拨)'!C4)),"比较法",IF(ISNUMBER(FIND("成本法",'结果表(划拨)'!C4)),"成本法",IF(ISNUMBER(FIND("假设开发法",'结果表(划拨)'!C4)),"假设开发法",IF(ISNUMBER(FIND("收益法",'结果表(划拨)'!C4)),"收益法","基准地价系数修正法"))))</f>
        <v>成本法</v>
      </c>
      <c r="L4" s="146" t="str">
        <f>IF(ISNUMBER(FIND("比较法",'结果表(划拨)'!D4)),"比较法",IF(ISNUMBER(FIND("成本法",'结果表(划拨)'!D4)),"成本法",IF(ISNUMBER(FIND("假设开发法",'结果表(划拨)'!D4)),"假设开发法",IF(ISNUMBER(FIND("收益法",'结果表(划拨)'!D4)),"收益法","基准地价系数修正法"))))</f>
        <v>收益法</v>
      </c>
    </row>
    <row r="5" spans="1:12" ht="12.75">
      <c r="A5" s="3770" t="s">
        <v>1266</v>
      </c>
      <c r="B5" s="3757">
        <v>25</v>
      </c>
      <c r="C5" s="3773"/>
      <c r="D5" s="3793"/>
      <c r="E5" s="131" t="s">
        <v>1267</v>
      </c>
      <c r="F5" s="1757"/>
      <c r="G5" s="1757"/>
      <c r="H5" s="1757"/>
      <c r="I5" s="1373"/>
    </row>
    <row r="6" spans="1:12" ht="12.75">
      <c r="A6" s="3770"/>
      <c r="B6" s="3757"/>
      <c r="C6" s="3774"/>
      <c r="D6" s="3793"/>
      <c r="E6" s="131" t="s">
        <v>1268</v>
      </c>
      <c r="F6" s="1757"/>
      <c r="G6" s="1757"/>
      <c r="H6" s="1757"/>
      <c r="I6" s="1373"/>
    </row>
    <row r="7" spans="1:12" ht="12.75">
      <c r="A7" s="3770"/>
      <c r="B7" s="3757"/>
      <c r="C7" s="3775"/>
      <c r="D7" s="3793"/>
      <c r="E7" s="131" t="s">
        <v>1269</v>
      </c>
      <c r="F7" s="1757"/>
      <c r="G7" s="1757"/>
      <c r="H7" s="1757"/>
      <c r="I7" s="1373"/>
    </row>
    <row r="8" spans="1:12" ht="12.75">
      <c r="A8" s="3770" t="s">
        <v>1270</v>
      </c>
      <c r="B8" s="3757">
        <v>15</v>
      </c>
      <c r="C8" s="3773"/>
      <c r="D8" s="3793"/>
      <c r="E8" s="131" t="s">
        <v>1271</v>
      </c>
      <c r="F8" s="1757"/>
      <c r="G8" s="1757"/>
      <c r="H8" s="1757"/>
      <c r="I8" s="1373"/>
    </row>
    <row r="9" spans="1:12" ht="12.75">
      <c r="A9" s="3770"/>
      <c r="B9" s="3757"/>
      <c r="C9" s="3775"/>
      <c r="D9" s="3793"/>
      <c r="E9" s="131" t="s">
        <v>1272</v>
      </c>
      <c r="F9" s="1757"/>
      <c r="G9" s="1757"/>
      <c r="H9" s="1757"/>
      <c r="I9" s="1373"/>
    </row>
    <row r="10" spans="1:12" ht="12.75">
      <c r="A10" s="3770" t="s">
        <v>1273</v>
      </c>
      <c r="B10" s="3757">
        <v>15</v>
      </c>
      <c r="C10" s="3773"/>
      <c r="D10" s="3793"/>
      <c r="E10" s="131" t="s">
        <v>1274</v>
      </c>
      <c r="F10" s="1757"/>
      <c r="G10" s="1757"/>
      <c r="H10" s="1757"/>
      <c r="I10" s="1373"/>
    </row>
    <row r="11" spans="1:12" ht="12.75">
      <c r="A11" s="3770"/>
      <c r="B11" s="3757"/>
      <c r="C11" s="3775"/>
      <c r="D11" s="3793"/>
      <c r="E11" s="131" t="s">
        <v>1275</v>
      </c>
      <c r="F11" s="1757"/>
      <c r="G11" s="1757"/>
      <c r="H11" s="1757"/>
      <c r="I11" s="1373"/>
    </row>
    <row r="12" spans="1:12" ht="12.75">
      <c r="A12" s="3770" t="s">
        <v>1276</v>
      </c>
      <c r="B12" s="3757">
        <v>15</v>
      </c>
      <c r="C12" s="3773"/>
      <c r="D12" s="3793"/>
      <c r="E12" s="131" t="s">
        <v>1277</v>
      </c>
      <c r="F12" s="1757"/>
      <c r="G12" s="1757"/>
      <c r="H12" s="1757"/>
      <c r="I12" s="1373"/>
    </row>
    <row r="13" spans="1:12" ht="12.75">
      <c r="A13" s="3770"/>
      <c r="B13" s="3757"/>
      <c r="C13" s="3775"/>
      <c r="D13" s="3793"/>
      <c r="E13" s="131" t="s">
        <v>1278</v>
      </c>
      <c r="F13" s="1757"/>
      <c r="G13" s="1757"/>
      <c r="H13" s="1757"/>
      <c r="I13" s="1373"/>
    </row>
    <row r="14" spans="1:12" ht="12.75">
      <c r="A14" s="3770" t="s">
        <v>1279</v>
      </c>
      <c r="B14" s="3757">
        <v>30</v>
      </c>
      <c r="C14" s="3773">
        <v>5</v>
      </c>
      <c r="D14" s="3793">
        <v>5</v>
      </c>
      <c r="E14" s="131" t="s">
        <v>1280</v>
      </c>
      <c r="F14" s="1757"/>
      <c r="G14" s="1757"/>
      <c r="H14" s="1757"/>
      <c r="I14" s="1373"/>
    </row>
    <row r="15" spans="1:12" ht="12.75">
      <c r="A15" s="3770"/>
      <c r="B15" s="3757"/>
      <c r="C15" s="3774"/>
      <c r="D15" s="3793"/>
      <c r="E15" s="131" t="s">
        <v>1281</v>
      </c>
      <c r="F15" s="1757"/>
      <c r="G15" s="1757"/>
      <c r="H15" s="1757"/>
      <c r="I15" s="1373"/>
    </row>
    <row r="16" spans="1:12" ht="12.75">
      <c r="A16" s="3770"/>
      <c r="B16" s="3757"/>
      <c r="C16" s="3775"/>
      <c r="D16" s="3793"/>
      <c r="E16" s="131" t="s">
        <v>1282</v>
      </c>
      <c r="F16" s="1757"/>
      <c r="G16" s="1757"/>
      <c r="H16" s="1757"/>
      <c r="I16" s="1373"/>
    </row>
    <row r="17" spans="1:36" ht="15">
      <c r="A17" s="1758" t="s">
        <v>1283</v>
      </c>
      <c r="B17" s="56"/>
      <c r="C17" s="132">
        <f>SUM(C5:C16)</f>
        <v>5</v>
      </c>
      <c r="D17" s="132">
        <f>SUM(D5:D16)</f>
        <v>5</v>
      </c>
      <c r="E17" s="129"/>
      <c r="F17" s="129"/>
      <c r="G17" s="129"/>
      <c r="H17" s="129"/>
      <c r="I17" s="129"/>
      <c r="K17" s="302"/>
      <c r="L17" s="302" t="s">
        <v>1284</v>
      </c>
      <c r="M17" s="302" t="s">
        <v>1285</v>
      </c>
    </row>
    <row r="18" spans="1:36" ht="31.9" customHeight="1" thickBot="1">
      <c r="A18" s="1759" t="s">
        <v>1286</v>
      </c>
      <c r="B18" s="1760"/>
      <c r="C18" s="133">
        <f>ROUND(C17/SUM(C17:D17),2)</f>
        <v>0.5</v>
      </c>
      <c r="D18" s="133">
        <f>1-C18</f>
        <v>0.5</v>
      </c>
      <c r="E18" s="3780" t="s">
        <v>2128</v>
      </c>
      <c r="F18" s="3781"/>
      <c r="G18" s="3781"/>
      <c r="H18" s="3781"/>
      <c r="I18" s="3781"/>
      <c r="K18" s="302" t="s">
        <v>1287</v>
      </c>
      <c r="L18" s="302">
        <f>IF(C1="",'数据-汇总表'!E3,SUMIF(项目类型,C1,'数据-汇总表'!E17:E26)+SUMIF(项目类型,C1,'数据-汇总表'!I17:I26))</f>
        <v>17280.400000000001</v>
      </c>
      <c r="M18" s="302">
        <f>IF(C1="",'数据-汇总表'!E3,SUMIF(项目类型,C1,'数据-汇总表'!E17:E26))</f>
        <v>17280.400000000001</v>
      </c>
    </row>
    <row r="19" spans="1:36" ht="15">
      <c r="A19" s="1761" t="s">
        <v>1288</v>
      </c>
      <c r="B19" s="1762" t="s">
        <v>1289</v>
      </c>
      <c r="C19" s="134">
        <f ca="1">SUMIF(INDIRECT("'"&amp;C4&amp;"'"&amp;"!A:A"),'结果表(划拨)'!B19,INDIRECT("'"&amp;C4&amp;"'"&amp;"!B:B"))</f>
        <v>99168</v>
      </c>
      <c r="D19" s="135">
        <f ca="1">SUMIF(INDIRECT("'"&amp;D4&amp;"'"&amp;"!A:A"),'结果表(划拨)'!B19,INDIRECT("'"&amp;D4&amp;"'"&amp;"!B:B"))</f>
        <v>63991</v>
      </c>
      <c r="E19" s="1761" t="s">
        <v>1290</v>
      </c>
      <c r="F19" s="1762" t="s">
        <v>1289</v>
      </c>
      <c r="G19" s="136">
        <f ca="1">ROUND(C19*$C$18+D19*$D$18,0)</f>
        <v>81580</v>
      </c>
      <c r="H19" s="1763" t="s">
        <v>1291</v>
      </c>
      <c r="I19" s="129"/>
      <c r="K19" s="302" t="s">
        <v>1292</v>
      </c>
      <c r="L19" s="302">
        <f>IF(C1="",'数据-汇总表'!D3,SUMIF(项目类型,C1,'数据-汇总表'!D17:D26)+SUMIF(项目类型,C1,'数据-汇总表'!H17:H27))</f>
        <v>0</v>
      </c>
      <c r="M19" s="302">
        <f>IF(C1="",'数据-汇总表'!D3,SUMIF(项目类型,C1,'数据-汇总表'!D17:D26))</f>
        <v>0</v>
      </c>
    </row>
    <row r="20" spans="1:36" ht="15">
      <c r="A20" s="1764"/>
      <c r="B20" s="1026" t="s">
        <v>1293</v>
      </c>
      <c r="C20" s="137">
        <f ca="1">SUMIF(INDIRECT("'"&amp;C4&amp;"'"&amp;"!A:A"),'结果表(划拨)'!B20,INDIRECT("'"&amp;C4&amp;"'"&amp;"!B:B"))</f>
        <v>57388</v>
      </c>
      <c r="D20" s="138">
        <f ca="1">SUMIF(INDIRECT("'"&amp;D4&amp;"'"&amp;"!A:A"),'结果表(划拨)'!B20,INDIRECT("'"&amp;D4&amp;"'"&amp;"!B:B"))</f>
        <v>37031</v>
      </c>
      <c r="E20" s="1764"/>
      <c r="F20" s="1026" t="s">
        <v>1293</v>
      </c>
      <c r="G20" s="139">
        <f ca="1">ROUND(C20*$C$18+D20*$D$18,0)</f>
        <v>47210</v>
      </c>
      <c r="H20" s="808" t="s">
        <v>1294</v>
      </c>
      <c r="I20" s="129"/>
    </row>
    <row r="21" spans="1:36" ht="15" customHeight="1" thickBot="1">
      <c r="A21" s="828"/>
      <c r="B21" s="1765" t="s">
        <v>1295</v>
      </c>
      <c r="C21" s="719" t="e">
        <f ca="1">ROUND(C19*10000/L19,0)</f>
        <v>#DIV/0!</v>
      </c>
      <c r="D21" s="720" t="e">
        <f ca="1">ROUND(D19*10000/L19,0)</f>
        <v>#DIV/0!</v>
      </c>
      <c r="E21" s="828"/>
      <c r="F21" s="1765" t="s">
        <v>1295</v>
      </c>
      <c r="G21" s="140" t="e">
        <f ca="1">ROUND(G19*10000/L19,0)</f>
        <v>#DIV/0!</v>
      </c>
      <c r="H21" s="1766" t="s">
        <v>1294</v>
      </c>
      <c r="I21" s="129"/>
    </row>
    <row r="22" spans="1:36" ht="15" thickBot="1">
      <c r="A22" s="1688" t="s">
        <v>1296</v>
      </c>
      <c r="B22" s="1767"/>
      <c r="C22" s="1768"/>
      <c r="D22" s="721">
        <f ca="1">IF(C19&lt;D19,D19/C19-1,C19/D19-1)</f>
        <v>0.54971792908377748</v>
      </c>
      <c r="E22" s="129"/>
      <c r="F22" s="129"/>
      <c r="G22" s="129"/>
      <c r="H22" s="129"/>
      <c r="I22" s="129"/>
    </row>
    <row r="23" spans="1:36" ht="13.5" thickBot="1">
      <c r="A23" s="1747"/>
      <c r="B23" s="1747"/>
      <c r="C23" s="1747"/>
      <c r="D23" s="1747"/>
      <c r="E23" s="129"/>
      <c r="F23" s="129"/>
      <c r="G23" s="129"/>
      <c r="H23" s="129"/>
      <c r="I23" s="129"/>
    </row>
    <row r="24" spans="1:36" ht="14.25">
      <c r="A24" s="3764" t="s">
        <v>1297</v>
      </c>
      <c r="B24" s="1762" t="s">
        <v>1289</v>
      </c>
      <c r="C24" s="136">
        <f>IF(B30=0,0,D30)</f>
        <v>16796</v>
      </c>
      <c r="D24" s="1769"/>
      <c r="E24" s="129"/>
      <c r="F24" s="129"/>
      <c r="G24" s="129"/>
      <c r="H24" s="129"/>
      <c r="I24" s="129"/>
    </row>
    <row r="25" spans="1:36" ht="14.25">
      <c r="A25" s="3765"/>
      <c r="B25" s="1026" t="s">
        <v>1293</v>
      </c>
      <c r="C25" s="141">
        <f>IF(B30=0,0,C30)</f>
        <v>9432</v>
      </c>
      <c r="D25" s="1770"/>
      <c r="E25" s="129"/>
      <c r="F25" s="129"/>
      <c r="G25" s="129"/>
      <c r="H25" s="129"/>
      <c r="I25" s="129"/>
    </row>
    <row r="26" spans="1:36" ht="13.5" customHeight="1">
      <c r="A26" s="1771" t="s">
        <v>1298</v>
      </c>
      <c r="B26" s="142" t="s">
        <v>1299</v>
      </c>
      <c r="C26" s="142" t="s">
        <v>1300</v>
      </c>
      <c r="D26" s="143" t="s">
        <v>1301</v>
      </c>
      <c r="E26" s="129"/>
      <c r="F26" s="129"/>
      <c r="G26" s="129"/>
      <c r="H26" s="129"/>
      <c r="I26" s="129"/>
    </row>
    <row r="27" spans="1:36" ht="14.25">
      <c r="A27" s="1771"/>
      <c r="B27" s="142">
        <f>'数据-汇总表'!F20</f>
        <v>17280.400000000001</v>
      </c>
      <c r="C27" s="142">
        <f>'基准地价修正(划拨)'!C34</f>
        <v>9432</v>
      </c>
      <c r="D27" s="143">
        <f>ROUND(C27*B27*1.0305/10000,0)</f>
        <v>16796</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1302</v>
      </c>
      <c r="B30" s="142">
        <f>B27</f>
        <v>17280.400000000001</v>
      </c>
      <c r="C30" s="142">
        <f>C27</f>
        <v>9432</v>
      </c>
      <c r="D30" s="142">
        <f>D27</f>
        <v>16796</v>
      </c>
      <c r="E30" s="2303" t="s">
        <v>2129</v>
      </c>
      <c r="F30" s="129"/>
      <c r="G30" s="129"/>
      <c r="H30" s="129"/>
      <c r="I30" s="129"/>
    </row>
    <row r="31" spans="1:36" s="2309" customFormat="1" ht="26.45" customHeight="1" thickTop="1" thickBot="1">
      <c r="A31" s="2304"/>
      <c r="B31" s="2305"/>
      <c r="C31" s="2305"/>
      <c r="D31" s="2305"/>
      <c r="E31" s="2305"/>
      <c r="F31" s="2305"/>
      <c r="G31" s="2305"/>
      <c r="H31" s="2305"/>
      <c r="I31" s="2306" t="s">
        <v>2130</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1303</v>
      </c>
      <c r="B32" s="1774"/>
      <c r="C32" s="144">
        <f ca="1">IF(D32="总价",G19-C24,G20-C25)</f>
        <v>64784</v>
      </c>
      <c r="D32" s="1775" t="s">
        <v>3566</v>
      </c>
      <c r="E32" s="129"/>
      <c r="F32" s="129"/>
      <c r="G32" s="129"/>
      <c r="H32" s="129"/>
      <c r="I32" s="129"/>
    </row>
    <row r="33" spans="1:15" ht="15">
      <c r="A33" s="786" t="s">
        <v>1304</v>
      </c>
      <c r="B33" s="1776"/>
      <c r="C33" s="1777"/>
      <c r="D33" s="1778"/>
      <c r="E33" s="1779" t="s">
        <v>1305</v>
      </c>
      <c r="F33" s="1780" t="str">
        <f>IF(D32="楼面单价","取值（单价）","取值（总价）")</f>
        <v>取值（总价）</v>
      </c>
      <c r="G33" s="129"/>
      <c r="H33" s="129"/>
      <c r="I33" s="129"/>
    </row>
    <row r="34" spans="1:15" ht="15">
      <c r="A34" s="1781"/>
      <c r="B34" s="1782" t="s">
        <v>1306</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1307</v>
      </c>
      <c r="F34" s="1330"/>
      <c r="G34" s="129"/>
      <c r="H34" s="129"/>
      <c r="I34" s="129"/>
    </row>
    <row r="35" spans="1:15" ht="15.75" thickBot="1">
      <c r="A35" s="1784"/>
      <c r="B35" s="1785" t="s">
        <v>1308</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1309</v>
      </c>
      <c r="F35" s="154"/>
      <c r="G35" s="129"/>
      <c r="H35" s="129"/>
      <c r="I35" s="129"/>
    </row>
    <row r="36" spans="1:15" ht="15.75" thickBot="1">
      <c r="A36" s="3784" t="s">
        <v>1310</v>
      </c>
      <c r="B36" s="1787" t="s">
        <v>1311</v>
      </c>
      <c r="C36" s="145"/>
      <c r="D36" s="1788"/>
      <c r="E36" s="1789"/>
      <c r="F36" s="1790"/>
      <c r="G36" s="129"/>
      <c r="H36" s="129"/>
      <c r="I36" s="129"/>
    </row>
    <row r="37" spans="1:15" ht="15.75" thickBot="1">
      <c r="A37" s="3785"/>
      <c r="B37" s="1674" t="s">
        <v>1312</v>
      </c>
      <c r="C37" s="147"/>
      <c r="D37" s="1139"/>
      <c r="E37" s="1139"/>
      <c r="F37" s="1790"/>
      <c r="G37" s="129"/>
      <c r="H37" s="129"/>
      <c r="I37" s="129"/>
    </row>
    <row r="38" spans="1:15" ht="15.75" thickBot="1">
      <c r="A38" s="3786"/>
      <c r="B38" s="1791" t="s">
        <v>1313</v>
      </c>
      <c r="C38" s="674"/>
      <c r="D38" s="1792" t="s">
        <v>1314</v>
      </c>
      <c r="E38" s="1139"/>
      <c r="F38" s="1790"/>
      <c r="G38" s="129"/>
      <c r="H38" s="129"/>
      <c r="I38" s="129"/>
    </row>
    <row r="39" spans="1:15" ht="15">
      <c r="A39" s="1764" t="s">
        <v>1315</v>
      </c>
      <c r="B39" s="1793" t="s">
        <v>1299</v>
      </c>
      <c r="C39" s="1794" t="s">
        <v>1300</v>
      </c>
      <c r="D39" s="1794" t="s">
        <v>1318</v>
      </c>
      <c r="E39" s="1795" t="s">
        <v>1301</v>
      </c>
      <c r="F39" s="1790"/>
      <c r="G39" s="129"/>
      <c r="H39" s="129"/>
      <c r="I39" s="129"/>
    </row>
    <row r="40" spans="1:15" ht="14.25">
      <c r="A40" s="1796" t="s">
        <v>1320</v>
      </c>
      <c r="B40" s="149"/>
      <c r="C40" s="150"/>
      <c r="D40" s="150"/>
      <c r="E40" s="151"/>
      <c r="F40" s="1790"/>
      <c r="G40" s="129"/>
      <c r="H40" s="129"/>
      <c r="I40" s="129"/>
    </row>
    <row r="41" spans="1:15" ht="14.25">
      <c r="A41" s="1796" t="s">
        <v>1321</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1322</v>
      </c>
      <c r="B44" s="1801"/>
      <c r="C44" s="1801"/>
      <c r="D44" s="1802"/>
      <c r="E44" s="1802"/>
      <c r="F44" s="1803"/>
      <c r="G44" s="1803"/>
      <c r="H44" s="1803"/>
      <c r="I44" s="1803"/>
      <c r="J44" s="1804" t="s">
        <v>1323</v>
      </c>
      <c r="K44" s="1805"/>
      <c r="L44" s="1805"/>
      <c r="M44" s="1805"/>
      <c r="N44" s="1805"/>
      <c r="O44" s="1805"/>
    </row>
    <row r="45" spans="1:15" ht="14.25" customHeight="1" thickBot="1">
      <c r="A45" s="3761" t="s">
        <v>1324</v>
      </c>
      <c r="B45" s="3762"/>
      <c r="C45" s="3763"/>
      <c r="D45" s="155">
        <f ca="1">ROUND(H101*F45,0)</f>
        <v>64784</v>
      </c>
      <c r="E45" s="156" t="s">
        <v>1325</v>
      </c>
      <c r="F45" s="157">
        <v>1</v>
      </c>
      <c r="G45" s="158" t="s">
        <v>1326</v>
      </c>
      <c r="H45" s="129"/>
      <c r="I45" s="129"/>
      <c r="J45" s="3839" t="s">
        <v>1327</v>
      </c>
      <c r="K45" s="3839"/>
      <c r="L45" s="3839"/>
      <c r="M45" s="3839"/>
      <c r="N45" s="3839"/>
      <c r="O45" s="3839"/>
    </row>
    <row r="46" spans="1:15" ht="14.25" customHeight="1">
      <c r="A46" s="3758" t="s">
        <v>1328</v>
      </c>
      <c r="B46" s="3759"/>
      <c r="C46" s="3759"/>
      <c r="D46" s="3759"/>
      <c r="E46" s="3759"/>
      <c r="F46" s="3759"/>
      <c r="G46" s="3760"/>
      <c r="H46" s="1806"/>
      <c r="I46" s="159"/>
      <c r="J46" s="3556">
        <v>1</v>
      </c>
      <c r="K46" s="3820" t="s">
        <v>1329</v>
      </c>
      <c r="L46" s="3820"/>
      <c r="M46" s="3840"/>
      <c r="N46" s="3840"/>
      <c r="O46" s="3840"/>
    </row>
    <row r="47" spans="1:15" ht="12" customHeight="1">
      <c r="A47" s="160" t="s">
        <v>1330</v>
      </c>
      <c r="B47" s="161"/>
      <c r="C47" s="162"/>
      <c r="D47" s="1087" t="s">
        <v>1331</v>
      </c>
      <c r="E47" s="302" t="s">
        <v>1332</v>
      </c>
      <c r="F47" s="163" t="s">
        <v>1333</v>
      </c>
      <c r="G47" s="2546" t="s">
        <v>1334</v>
      </c>
      <c r="H47" s="2547"/>
      <c r="I47" s="159"/>
      <c r="J47" s="3556">
        <v>2</v>
      </c>
      <c r="K47" s="3820" t="s">
        <v>1335</v>
      </c>
      <c r="L47" s="3820"/>
      <c r="M47" s="3841">
        <f>'数据-取费表'!B2</f>
        <v>45400</v>
      </c>
      <c r="N47" s="3841"/>
      <c r="O47" s="3841"/>
    </row>
    <row r="48" spans="1:15" ht="25.5">
      <c r="A48" s="3789" t="s">
        <v>1336</v>
      </c>
      <c r="B48" s="3772"/>
      <c r="C48" s="3772"/>
      <c r="D48" s="3551" t="b">
        <f>IF(H48="情况1",0,IF(H48="情况2",D52,IF(H48="情况3",D53,IF(H48="情况4",D54))))</f>
        <v>0</v>
      </c>
      <c r="E48" s="3567" t="str">
        <f>IF(H48="情况4","(销售额-原购置价)×税（费）率","销售额×税（费）率")</f>
        <v>销售额×税（费）率</v>
      </c>
      <c r="F48" s="2548">
        <f>IF(H48="情况1","免征",'数据-取费表'!B41)</f>
        <v>5.6000000000000001E-2</v>
      </c>
      <c r="G48" s="2549" t="s">
        <v>1337</v>
      </c>
      <c r="H48" s="2550"/>
      <c r="I48" s="1806"/>
      <c r="J48" s="3556">
        <v>3</v>
      </c>
      <c r="K48" s="3820" t="s">
        <v>1338</v>
      </c>
      <c r="L48" s="3820"/>
      <c r="M48" s="3842">
        <f ca="1">H101</f>
        <v>64784</v>
      </c>
      <c r="N48" s="3842"/>
      <c r="O48" s="3842"/>
    </row>
    <row r="49" spans="1:35" ht="25.5" customHeight="1">
      <c r="A49" s="3566" t="s">
        <v>1339</v>
      </c>
      <c r="B49" s="3756" t="s">
        <v>1340</v>
      </c>
      <c r="C49" s="3756"/>
      <c r="D49" s="1590">
        <v>0</v>
      </c>
      <c r="E49" s="324" t="s">
        <v>1341</v>
      </c>
      <c r="F49" s="3549" t="s">
        <v>28</v>
      </c>
      <c r="G49" s="3826"/>
      <c r="H49" s="2310" t="s">
        <v>2131</v>
      </c>
      <c r="I49" s="2311"/>
      <c r="J49" s="3556">
        <v>4</v>
      </c>
      <c r="K49" s="3820" t="str">
        <f>IF(项目基本情况!E8="房地产抵押价值","房地产抵押价值","抵押担保权已注销时的房地产抵押价值")</f>
        <v>房地产抵押价值</v>
      </c>
      <c r="L49" s="3820"/>
      <c r="M49" s="3842">
        <f ca="1">IF(项目基本情况!E8="房地产抵押价值",H107,H109)</f>
        <v>64784</v>
      </c>
      <c r="N49" s="3842"/>
      <c r="O49" s="3842"/>
    </row>
    <row r="50" spans="1:35" ht="25.5" customHeight="1">
      <c r="A50" s="2551"/>
      <c r="B50" s="3756" t="s">
        <v>1342</v>
      </c>
      <c r="C50" s="3756"/>
      <c r="D50" s="2552"/>
      <c r="E50" s="332"/>
      <c r="F50" s="3549"/>
      <c r="G50" s="3827"/>
      <c r="H50" s="2312" t="s">
        <v>2132</v>
      </c>
      <c r="I50" s="2311"/>
      <c r="J50" s="3839" t="s">
        <v>1343</v>
      </c>
      <c r="K50" s="3839"/>
      <c r="L50" s="3839"/>
      <c r="M50" s="3839"/>
      <c r="N50" s="3839"/>
      <c r="O50" s="3839"/>
    </row>
    <row r="51" spans="1:35" ht="20.45" customHeight="1">
      <c r="A51" s="2553"/>
      <c r="B51" s="3756" t="s">
        <v>1344</v>
      </c>
      <c r="C51" s="3756"/>
      <c r="D51" s="1087"/>
      <c r="E51" s="327"/>
      <c r="F51" s="3549"/>
      <c r="G51" s="3828"/>
      <c r="H51" s="2312" t="s">
        <v>2133</v>
      </c>
      <c r="I51" s="2311"/>
      <c r="J51" s="3550" t="s">
        <v>1345</v>
      </c>
      <c r="K51" s="3820" t="s">
        <v>1346</v>
      </c>
      <c r="L51" s="3820"/>
      <c r="M51" s="3550" t="s">
        <v>1347</v>
      </c>
      <c r="N51" s="3550" t="s">
        <v>1348</v>
      </c>
      <c r="O51" s="3550" t="s">
        <v>1349</v>
      </c>
    </row>
    <row r="52" spans="1:35" ht="24" customHeight="1">
      <c r="A52" s="3569" t="s">
        <v>1350</v>
      </c>
      <c r="B52" s="3756" t="s">
        <v>1351</v>
      </c>
      <c r="C52" s="3756"/>
      <c r="D52" s="1087">
        <f ca="1">ROUND(D45*'数据-取费表'!B41/(1+'数据-取费表'!C42),0)</f>
        <v>3455</v>
      </c>
      <c r="E52" s="3567" t="s">
        <v>1352</v>
      </c>
      <c r="F52" s="2554">
        <f>'数据-取费表'!B41</f>
        <v>5.6000000000000001E-2</v>
      </c>
      <c r="G52" s="2555"/>
      <c r="H52" s="2544"/>
      <c r="I52" s="1807"/>
      <c r="J52" s="3556">
        <v>1</v>
      </c>
      <c r="K52" s="3821" t="s">
        <v>1353</v>
      </c>
      <c r="L52" s="3821"/>
      <c r="M52" s="2525" t="b">
        <f>D48</f>
        <v>0</v>
      </c>
      <c r="N52" s="3556" t="str">
        <f>E48</f>
        <v>销售额×税（费）率</v>
      </c>
      <c r="O52" s="2526">
        <f>F48</f>
        <v>5.6000000000000001E-2</v>
      </c>
    </row>
    <row r="53" spans="1:35" ht="12" customHeight="1">
      <c r="A53" s="3569" t="s">
        <v>1354</v>
      </c>
      <c r="B53" s="3782" t="s">
        <v>2288</v>
      </c>
      <c r="C53" s="3783"/>
      <c r="D53" s="1087">
        <f ca="1">ROUND(D45*'数据-取费表'!B41/(1+'数据-取费表'!C42),0)</f>
        <v>3455</v>
      </c>
      <c r="E53" s="3567" t="s">
        <v>1352</v>
      </c>
      <c r="F53" s="2554">
        <f>'数据-取费表'!B41</f>
        <v>5.6000000000000001E-2</v>
      </c>
      <c r="G53" s="2555"/>
      <c r="H53" s="2544"/>
      <c r="I53" s="1807"/>
      <c r="J53" s="3556">
        <v>2</v>
      </c>
      <c r="K53" s="3821" t="s">
        <v>1355</v>
      </c>
      <c r="L53" s="3821"/>
      <c r="M53" s="2525">
        <f t="shared" ref="M53:O54" ca="1" si="0">D55</f>
        <v>32</v>
      </c>
      <c r="N53" s="3556" t="str">
        <f t="shared" si="0"/>
        <v>销售额×税（费）率</v>
      </c>
      <c r="O53" s="2526" t="str">
        <f t="shared" si="0"/>
        <v>免征</v>
      </c>
    </row>
    <row r="54" spans="1:35" ht="12" customHeight="1">
      <c r="A54" s="3569" t="s">
        <v>1356</v>
      </c>
      <c r="B54" s="3782" t="s">
        <v>2289</v>
      </c>
      <c r="C54" s="3783"/>
      <c r="D54" s="1087">
        <f ca="1">C68</f>
        <v>3455</v>
      </c>
      <c r="E54" s="327" t="s">
        <v>1357</v>
      </c>
      <c r="F54" s="2554">
        <f>'数据-取费表'!B41</f>
        <v>5.6000000000000001E-2</v>
      </c>
      <c r="G54" s="2555"/>
      <c r="H54" s="2556"/>
      <c r="I54" s="1807"/>
      <c r="J54" s="3556">
        <v>3</v>
      </c>
      <c r="K54" s="3821" t="s">
        <v>1358</v>
      </c>
      <c r="L54" s="3821"/>
      <c r="M54" s="2525">
        <f t="shared" ca="1" si="0"/>
        <v>36668</v>
      </c>
      <c r="N54" s="3556" t="str">
        <f t="shared" si="0"/>
        <v>增值额×税（费）率</v>
      </c>
      <c r="O54" s="2527" t="str">
        <f t="shared" si="0"/>
        <v>免征</v>
      </c>
    </row>
    <row r="55" spans="1:35" ht="24" customHeight="1">
      <c r="A55" s="3771" t="s">
        <v>1359</v>
      </c>
      <c r="B55" s="3772"/>
      <c r="C55" s="3772"/>
      <c r="D55" s="3551">
        <f ca="1">IF(H55="个人住宅",0,ROUND(D45*I55,0))</f>
        <v>32</v>
      </c>
      <c r="E55" s="3567" t="s">
        <v>1360</v>
      </c>
      <c r="F55" s="2554" t="str">
        <f>IF(H55="正常",I55,"免征")</f>
        <v>免征</v>
      </c>
      <c r="G55" s="2555"/>
      <c r="H55" s="2550"/>
      <c r="I55" s="165">
        <f>'数据-取费表'!B49</f>
        <v>5.0000000000000001E-4</v>
      </c>
      <c r="J55" s="3556">
        <f>IF(H59="非个人房产","",4)</f>
        <v>4</v>
      </c>
      <c r="K55" s="3821" t="str">
        <f>IF(H59="非个人房产","——","个人所得税")</f>
        <v>个人所得税</v>
      </c>
      <c r="L55" s="3821"/>
      <c r="M55" s="2528">
        <f ca="1">D59</f>
        <v>617</v>
      </c>
      <c r="N55" s="3557" t="str">
        <f>E59</f>
        <v>差额计税</v>
      </c>
      <c r="O55" s="2529">
        <f>F59</f>
        <v>0.01</v>
      </c>
    </row>
    <row r="56" spans="1:35" ht="24.75">
      <c r="A56" s="3771" t="s">
        <v>1361</v>
      </c>
      <c r="B56" s="3772"/>
      <c r="C56" s="3772"/>
      <c r="D56" s="3551">
        <f ca="1">IF(H56="个人住宅",D57,D58)</f>
        <v>36668</v>
      </c>
      <c r="E56" s="3567" t="s">
        <v>1362</v>
      </c>
      <c r="F56" s="2554" t="str">
        <f>IF(H56="正常",F58,"免征")</f>
        <v>免征</v>
      </c>
      <c r="G56" s="2557" t="s">
        <v>1363</v>
      </c>
      <c r="H56" s="2558"/>
      <c r="I56" s="1808"/>
      <c r="J56" s="3556" t="str">
        <f>IF(项目基本情况!K6="上海银行",IF(J55="",4,J55+1),"")</f>
        <v/>
      </c>
      <c r="K56" s="3844" t="str">
        <f>IF(项目基本情况!K6="上海银行","其他处置费用","")</f>
        <v/>
      </c>
      <c r="L56" s="3845"/>
      <c r="M56" s="2525" t="str">
        <f>IF(项目基本情况!K6="上海银行",M69,"")</f>
        <v/>
      </c>
      <c r="N56" s="3844" t="str">
        <f>IF(项目基本情况!K6="上海银行","包含处置中涉及的律师、诉讼、拍卖、评估等费用","")</f>
        <v/>
      </c>
      <c r="O56" s="3847"/>
    </row>
    <row r="57" spans="1:35" ht="12.75">
      <c r="A57" s="3569" t="s">
        <v>1339</v>
      </c>
      <c r="B57" s="3782" t="s">
        <v>1364</v>
      </c>
      <c r="C57" s="3783"/>
      <c r="D57" s="1590">
        <v>0</v>
      </c>
      <c r="E57" s="324" t="s">
        <v>1341</v>
      </c>
      <c r="F57" s="302"/>
      <c r="G57" s="2555"/>
      <c r="H57" s="2559"/>
      <c r="I57" s="1808"/>
      <c r="J57" s="3821">
        <f>IF(AND(J55="",J56=""),4,IF(项目基本情况!K6="上海银行",'结果表(划拨)'!J56+1,'结果表(划拨)'!J55+1))</f>
        <v>5</v>
      </c>
      <c r="K57" s="3821" t="s">
        <v>1365</v>
      </c>
      <c r="L57" s="2530" t="s">
        <v>1366</v>
      </c>
      <c r="M57" s="2531"/>
      <c r="N57" s="2532">
        <f ca="1">SUMIF(M52:M56,"&lt;9e307")</f>
        <v>37317</v>
      </c>
      <c r="O57" s="2533"/>
      <c r="P57" s="2690">
        <f ca="1">N57/M49</f>
        <v>0.57602185724870336</v>
      </c>
    </row>
    <row r="58" spans="1:35" ht="24.75">
      <c r="A58" s="3569" t="s">
        <v>1350</v>
      </c>
      <c r="B58" s="3782" t="s">
        <v>1367</v>
      </c>
      <c r="C58" s="3756"/>
      <c r="D58" s="3551">
        <f ca="1">IF(H58="转让取得",C81,C97)</f>
        <v>36668</v>
      </c>
      <c r="E58" s="3567" t="s">
        <v>1362</v>
      </c>
      <c r="F58" s="302" t="s">
        <v>28</v>
      </c>
      <c r="G58" s="2555"/>
      <c r="H58" s="2558"/>
      <c r="I58" s="1808"/>
      <c r="J58" s="3821"/>
      <c r="K58" s="3821"/>
      <c r="L58" s="2530" t="s">
        <v>1368</v>
      </c>
      <c r="M58" s="2534"/>
      <c r="N58" s="2535" t="str">
        <f ca="1">NUMBERSTRING(INT(N57*10000),2)&amp;"元整"</f>
        <v>叁亿柒仟叁佰壹拾柒万元整</v>
      </c>
      <c r="O58" s="2536"/>
    </row>
    <row r="59" spans="1:35" ht="24.75" thickBot="1">
      <c r="A59" s="3824" t="s">
        <v>1369</v>
      </c>
      <c r="B59" s="3825"/>
      <c r="C59" s="3825"/>
      <c r="D59" s="2560">
        <f ca="1">IF(H59="非个人房产","——",IF(H59="个人住宅（满五唯一有凭证）",0,IF(H59="个人其他（无凭证）",ROUND(D45*F59,0),ROUND(C67*F59,0))))</f>
        <v>617</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1363</v>
      </c>
      <c r="H59" s="2314"/>
      <c r="I59" s="2313" t="s">
        <v>2134</v>
      </c>
      <c r="J59" s="3822">
        <f>J57+1</f>
        <v>6</v>
      </c>
      <c r="K59" s="3821" t="s">
        <v>1370</v>
      </c>
      <c r="L59" s="3556" t="s">
        <v>1366</v>
      </c>
      <c r="M59" s="2537"/>
      <c r="N59" s="2538">
        <f ca="1">M49-N57</f>
        <v>27467</v>
      </c>
      <c r="O59" s="2539"/>
    </row>
    <row r="60" spans="1:35" ht="12" customHeight="1">
      <c r="A60" s="1809"/>
      <c r="B60" s="1747"/>
      <c r="C60" s="1747"/>
      <c r="D60" s="1747"/>
      <c r="E60" s="1578"/>
      <c r="F60" s="1808"/>
      <c r="G60" s="1808"/>
      <c r="H60" s="1810"/>
      <c r="I60" s="129"/>
      <c r="J60" s="3823"/>
      <c r="K60" s="3821"/>
      <c r="L60" s="2530" t="s">
        <v>1368</v>
      </c>
      <c r="M60" s="2534"/>
      <c r="N60" s="2535" t="str">
        <f ca="1">NUMBERSTRING(INT(N59*10000),2)&amp;"元整"</f>
        <v>贰亿柒仟肆佰陆拾柒万元整</v>
      </c>
      <c r="O60" s="2536"/>
    </row>
    <row r="61" spans="1:35" ht="13.5" thickBot="1">
      <c r="A61" s="3769" t="s">
        <v>1371</v>
      </c>
      <c r="B61" s="3769"/>
      <c r="C61" s="3769"/>
      <c r="D61" s="3769"/>
      <c r="E61" s="3769"/>
      <c r="F61" s="1808"/>
      <c r="G61" s="1808"/>
      <c r="H61" s="1810"/>
      <c r="I61" s="129"/>
      <c r="J61" s="3556">
        <f>J59+1</f>
        <v>7</v>
      </c>
      <c r="K61" s="3821" t="s">
        <v>1372</v>
      </c>
      <c r="L61" s="3821"/>
      <c r="M61" s="2540"/>
      <c r="N61" s="2541">
        <f ca="1">ROUND(N59*10000/'数据-汇总表'!E3,0)</f>
        <v>14888</v>
      </c>
      <c r="O61" s="2542"/>
    </row>
    <row r="62" spans="1:35" ht="12.75">
      <c r="A62" s="3787" t="s">
        <v>1373</v>
      </c>
      <c r="B62" s="3788"/>
      <c r="C62" s="3562"/>
      <c r="D62" s="3562" t="s">
        <v>1374</v>
      </c>
      <c r="E62" s="166" t="s">
        <v>1375</v>
      </c>
      <c r="F62" s="1808"/>
      <c r="G62" s="1808"/>
      <c r="H62" s="1810"/>
      <c r="I62" s="129"/>
    </row>
    <row r="63" spans="1:35" ht="12.75">
      <c r="A63" s="173" t="s">
        <v>330</v>
      </c>
      <c r="B63" s="167" t="s">
        <v>1376</v>
      </c>
      <c r="C63" s="2564">
        <f ca="1">ROUND((C64+C65)/(1+'数据-取费表'!C42),0)</f>
        <v>61699</v>
      </c>
      <c r="D63" s="167"/>
      <c r="E63" s="168"/>
      <c r="F63" s="1808"/>
      <c r="G63" s="1808"/>
      <c r="H63" s="1810"/>
      <c r="I63" s="129"/>
      <c r="J63" s="3846" t="s">
        <v>1377</v>
      </c>
      <c r="K63" s="3552" t="s">
        <v>1378</v>
      </c>
      <c r="L63" s="3552">
        <f ca="1">IF(M49&gt;10000,M49*0.5%,IF(AND(M49&gt;1000,M49&lt;=10000),M49*1%,IF(AND(M49&gt;100,M49&lt;=1000),M49*3%,IF(AND(M49&gt;10,M49&lt;=100),M49*5%,M49*8%))))</f>
        <v>323.92</v>
      </c>
      <c r="M63" s="302">
        <f ca="1">ROUND(L63,1)</f>
        <v>323.89999999999998</v>
      </c>
      <c r="N63" s="2543"/>
      <c r="Z63" s="1752"/>
      <c r="AI63" s="1753"/>
    </row>
    <row r="64" spans="1:35" ht="14.25" customHeight="1">
      <c r="A64" s="169" t="s">
        <v>325</v>
      </c>
      <c r="B64" s="170" t="s">
        <v>1379</v>
      </c>
      <c r="C64" s="2565">
        <f ca="1">D45</f>
        <v>64784</v>
      </c>
      <c r="D64" s="170" t="s">
        <v>26</v>
      </c>
      <c r="E64" s="172"/>
      <c r="F64" s="1808"/>
      <c r="G64" s="1808"/>
      <c r="H64" s="1810"/>
      <c r="I64" s="129"/>
      <c r="J64" s="3846"/>
      <c r="K64" s="3552" t="s">
        <v>1380</v>
      </c>
      <c r="L64" s="3552">
        <f ca="1">IF(M49&gt;2000,M49*0.5%,IF(AND(M49&gt;1000,M49&lt;=2000),M49*0.6%,IF(AND(M49&gt;500,M49&lt;=1000),M49*0.7%,IF(AND(M49&gt;200,M49&lt;=500),M49*0.8%,IF(AND(M49&gt;100,M49&lt;=200),M49*0.9%,IF(AND(M49&gt;50,M49&lt;=100),M49*1%,IF(AND(M49&gt;20,M49&lt;=50),M49*1.5%,IF(AND(M49&gt;10,M49&lt;=20),M49*2%,IF(AND(M49&gt;1,M49&lt;=10),M49*2.5%)))))))))</f>
        <v>323.92</v>
      </c>
      <c r="M64" s="302">
        <f t="shared" ref="M64:M65" ca="1" si="1">ROUND(L64,1)</f>
        <v>323.89999999999998</v>
      </c>
      <c r="N64" s="2544" t="s">
        <v>1381</v>
      </c>
      <c r="Z64" s="1752"/>
      <c r="AI64" s="1753"/>
    </row>
    <row r="65" spans="1:35" ht="14.25" customHeight="1">
      <c r="A65" s="169" t="s">
        <v>326</v>
      </c>
      <c r="B65" s="170" t="s">
        <v>1382</v>
      </c>
      <c r="C65" s="2566"/>
      <c r="D65" s="170"/>
      <c r="E65" s="172"/>
      <c r="F65" s="1808"/>
      <c r="G65" s="1808"/>
      <c r="H65" s="1810"/>
      <c r="I65" s="129"/>
      <c r="J65" s="3846"/>
      <c r="K65" s="3552" t="s">
        <v>1383</v>
      </c>
      <c r="L65" s="3552">
        <f ca="1">IF(M49&gt;1000,M49*0.1%,IF(AND(M49&gt;500,M49&lt;=1000),M49*0.5%,IF(AND(M49&gt;50,M49&lt;=500),M49*1%,IF(AND(M49&gt;1,M49&lt;=50),M49*1.5%))))</f>
        <v>64.784000000000006</v>
      </c>
      <c r="M65" s="302">
        <f t="shared" ca="1" si="1"/>
        <v>64.8</v>
      </c>
      <c r="N65" s="2544" t="s">
        <v>1381</v>
      </c>
      <c r="Z65" s="1752"/>
      <c r="AI65" s="1753"/>
    </row>
    <row r="66" spans="1:35" ht="14.25" customHeight="1">
      <c r="A66" s="173" t="s">
        <v>327</v>
      </c>
      <c r="B66" s="174" t="s">
        <v>1384</v>
      </c>
      <c r="C66" s="2567"/>
      <c r="D66" s="174" t="s">
        <v>26</v>
      </c>
      <c r="E66" s="1338" t="s">
        <v>669</v>
      </c>
      <c r="F66" s="1808"/>
      <c r="G66" s="1808"/>
      <c r="H66" s="1810"/>
      <c r="I66" s="129"/>
      <c r="J66" s="3846"/>
      <c r="K66" s="3552" t="s">
        <v>1385</v>
      </c>
      <c r="L66" s="3552">
        <f ca="1">M49*0.5%</f>
        <v>323.92</v>
      </c>
      <c r="M66" s="302">
        <f ca="1">IF(L66&gt;0.5,0.5,ROUND(L66,0))</f>
        <v>0.5</v>
      </c>
      <c r="N66" s="2544" t="s">
        <v>1386</v>
      </c>
      <c r="Z66" s="1752"/>
      <c r="AI66" s="1753"/>
    </row>
    <row r="67" spans="1:35" ht="14.25" customHeight="1">
      <c r="A67" s="173" t="s">
        <v>328</v>
      </c>
      <c r="B67" s="174" t="s">
        <v>1387</v>
      </c>
      <c r="C67" s="2568">
        <f ca="1">C63-C66</f>
        <v>61699</v>
      </c>
      <c r="D67" s="170" t="s">
        <v>26</v>
      </c>
      <c r="E67" s="172"/>
      <c r="F67" s="1808"/>
      <c r="G67" s="1808"/>
      <c r="H67" s="1810"/>
      <c r="I67" s="129"/>
      <c r="J67" s="3846"/>
      <c r="K67" s="3552" t="s">
        <v>1388</v>
      </c>
      <c r="L67" s="3552">
        <f ca="1">IF(M49&gt;=10000,(8.25+(M49-10000)*0.01%),IF(AND(M49&gt;=8000,M49&lt;10000),(7.85+(M49-8000)*0.02%),IF(AND(M49&gt;=5000,M49&lt;8000),(6.65+(M49-5000)*0.04%),IF(AND(M49&gt;=2000,M49&lt;5000),(4.25+(PM49-2000)*0.08%),IF(AND(M49&gt;=1000,M49&lt;2000),(2.75+(M49-1000)*0.15%),IF(AND(M49&gt;=100,M49&lt;1000),(0.5+(M49-100)*0.25%),IF(AND(M49&gt;0,M49&lt;100),M49*0.5%)))))))</f>
        <v>13.728400000000001</v>
      </c>
      <c r="M67" s="302">
        <f ca="1">ROUND(L67*0.9,1)</f>
        <v>12.4</v>
      </c>
      <c r="N67" s="2543"/>
      <c r="Z67" s="1752"/>
      <c r="AI67" s="1753"/>
    </row>
    <row r="68" spans="1:35" ht="14.25" customHeight="1" thickBot="1">
      <c r="A68" s="176" t="s">
        <v>329</v>
      </c>
      <c r="B68" s="177" t="s">
        <v>1389</v>
      </c>
      <c r="C68" s="2569">
        <f ca="1">IF(C67&lt;=0,0,ROUND(C67*D68,0))</f>
        <v>3455</v>
      </c>
      <c r="D68" s="2570">
        <f>'数据-取费表'!B41</f>
        <v>5.6000000000000001E-2</v>
      </c>
      <c r="E68" s="178"/>
      <c r="F68" s="1808"/>
      <c r="G68" s="1808"/>
      <c r="H68" s="1810"/>
      <c r="I68" s="129"/>
      <c r="J68" s="3846"/>
      <c r="K68" s="3552" t="s">
        <v>1390</v>
      </c>
      <c r="L68" s="3552">
        <f ca="1">IF(M49&gt;10000,M49*0.5%,IF(AND(M49&gt;5000,M49&lt;=10000),M49*1%,IF(AND(M49&gt;1000,M49&lt;=5000),M49*2%,IF(AND(M49&gt;200,M49&lt;=1000),M49*3%,M49*5%))))</f>
        <v>323.92</v>
      </c>
      <c r="M68" s="302">
        <f ca="1">ROUND(L68,1)</f>
        <v>323.89999999999998</v>
      </c>
      <c r="N68" s="2543"/>
      <c r="Z68" s="1752"/>
      <c r="AI68" s="1753"/>
    </row>
    <row r="69" spans="1:35" s="1772" customFormat="1" ht="16.5" customHeight="1">
      <c r="A69" s="1811"/>
      <c r="B69" s="1812"/>
      <c r="C69" s="1813"/>
      <c r="D69" s="1814"/>
      <c r="E69" s="1815"/>
      <c r="F69" s="1578"/>
      <c r="G69" s="1578"/>
      <c r="H69" s="1577"/>
      <c r="I69" s="1747"/>
      <c r="J69" s="3846"/>
      <c r="K69" s="3552" t="s">
        <v>1391</v>
      </c>
      <c r="L69" s="3552"/>
      <c r="M69" s="302">
        <f ca="1">ROUND(SUM(M63:M68),0)</f>
        <v>1049</v>
      </c>
      <c r="N69" s="2545">
        <f ca="1">M69/M49</f>
        <v>1.6192269696221288E-2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808" t="s">
        <v>1392</v>
      </c>
      <c r="B70" s="3809"/>
      <c r="C70" s="3809"/>
      <c r="D70" s="3809"/>
      <c r="E70" s="3809"/>
      <c r="F70" s="3809"/>
      <c r="G70" s="3809"/>
      <c r="H70" s="3809"/>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787" t="s">
        <v>1373</v>
      </c>
      <c r="B71" s="3788"/>
      <c r="C71" s="3562"/>
      <c r="D71" s="3562" t="s">
        <v>1374</v>
      </c>
      <c r="E71" s="179" t="s">
        <v>1375</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1393</v>
      </c>
      <c r="C72" s="2568">
        <f ca="1">ROUND(D45/(1+'数据-取费表'!C42),0)</f>
        <v>61699</v>
      </c>
      <c r="D72" s="170" t="s">
        <v>26</v>
      </c>
      <c r="E72" s="3564"/>
      <c r="F72" s="3563"/>
      <c r="G72" s="3563"/>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1394</v>
      </c>
      <c r="C73" s="2568">
        <f ca="1">C74+C78</f>
        <v>370</v>
      </c>
      <c r="D73" s="170" t="s">
        <v>26</v>
      </c>
      <c r="E73" s="3564"/>
      <c r="F73" s="3563"/>
      <c r="G73" s="35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1395</v>
      </c>
      <c r="C74" s="170">
        <f>ROUND(IF(G77="2016年5月1日后购买",C75/(1+'数据-取费表'!C42)+C76+C77,C75+C76+C77),0)</f>
        <v>0</v>
      </c>
      <c r="D74" s="170" t="s">
        <v>26</v>
      </c>
      <c r="E74" s="3564"/>
      <c r="F74" s="3563"/>
      <c r="G74" s="35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1396</v>
      </c>
      <c r="C75" s="2571"/>
      <c r="D75" s="170" t="s">
        <v>26</v>
      </c>
      <c r="E75" s="184" t="s">
        <v>1397</v>
      </c>
      <c r="F75" s="2572"/>
      <c r="G75" s="184" t="s">
        <v>1398</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1399</v>
      </c>
      <c r="C76" s="170">
        <f>IF(F75="购房发票",ROUND(C75*H75*D76,0),0)</f>
        <v>0</v>
      </c>
      <c r="D76" s="2574">
        <v>0.05</v>
      </c>
      <c r="E76" s="3782" t="s">
        <v>1400</v>
      </c>
      <c r="F76" s="3756"/>
      <c r="G76" s="3756"/>
      <c r="H76" s="380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1401</v>
      </c>
      <c r="C77" s="170">
        <f>ROUND(IF(G77="个人住宅",0,IF(G77="2016年5月1日前购买",C75*D77,C75*D77/(1+'数据-取费表'!C42))),0)</f>
        <v>0</v>
      </c>
      <c r="D77" s="2575">
        <f>'数据-取费表'!B48+'数据-取费表'!B49</f>
        <v>3.0499999999999999E-2</v>
      </c>
      <c r="E77" s="3551" t="s">
        <v>1402</v>
      </c>
      <c r="F77" s="186"/>
      <c r="G77" s="1822"/>
      <c r="H77" s="35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1403</v>
      </c>
      <c r="C78" s="2576">
        <f ca="1">ROUND(D45*D78/(1+'数据-取费表'!C42),0)</f>
        <v>370</v>
      </c>
      <c r="D78" s="2577">
        <f>'数据-取费表'!B43</f>
        <v>6.000000000000001E-3</v>
      </c>
      <c r="E78" s="3766" t="s">
        <v>1404</v>
      </c>
      <c r="F78" s="3767"/>
      <c r="G78" s="3767"/>
      <c r="H78" s="377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328</v>
      </c>
      <c r="B79" s="174" t="s">
        <v>1405</v>
      </c>
      <c r="C79" s="2568">
        <f ca="1">C72-C73</f>
        <v>61329</v>
      </c>
      <c r="D79" s="170" t="s">
        <v>26</v>
      </c>
      <c r="E79" s="3564"/>
      <c r="F79" s="3563"/>
      <c r="G79" s="35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1406</v>
      </c>
      <c r="C80" s="2578">
        <f ca="1">IF(C79&lt;=0,0,C79/C73)</f>
        <v>165.75405405405405</v>
      </c>
      <c r="D80" s="170" t="s">
        <v>26</v>
      </c>
      <c r="E80" s="3551" t="str">
        <f ca="1">IF(C80&gt;=200%,"增值额超过扣除项目金额200%",IF(C80&gt;=100%,"增值额超过扣除项目金额100%，未超过200%",IF(C80&gt;=50%,"增值额超过扣除项目金额50%，未超过100%",IF(C80&lt;50%,"增值额未超过扣除项目金额50%"))))</f>
        <v>增值额超过扣除项目金额200%</v>
      </c>
      <c r="F80" s="3563"/>
      <c r="G80" s="35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1407</v>
      </c>
      <c r="C81" s="2579">
        <f ca="1">ROUND(IF(C79&lt;=0,0,IF(C80&gt;=200%,C79*60%-C73*35%,IF(C80&gt;=100%,C79*50%-C73*15%,IF(C80&gt;=50%,C79*40%-C73*5%,IF(C80&lt;50%,C79*30%,0))))),0)</f>
        <v>36668</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808" t="s">
        <v>1408</v>
      </c>
      <c r="B83" s="3809"/>
      <c r="C83" s="3809"/>
      <c r="D83" s="3809"/>
      <c r="E83" s="3809"/>
      <c r="F83" s="3809"/>
      <c r="G83" s="3809"/>
      <c r="H83" s="380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787" t="s">
        <v>1373</v>
      </c>
      <c r="B84" s="3788"/>
      <c r="C84" s="3562"/>
      <c r="D84" s="3562" t="s">
        <v>1374</v>
      </c>
      <c r="E84" s="179" t="s">
        <v>1375</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1393</v>
      </c>
      <c r="C85" s="2568">
        <f ca="1">ROUND(D45/(1+'数据-取费表'!C42),0)</f>
        <v>61699</v>
      </c>
      <c r="D85" s="170" t="s">
        <v>26</v>
      </c>
      <c r="E85" s="3564"/>
      <c r="F85" s="3563"/>
      <c r="G85" s="35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1394</v>
      </c>
      <c r="C86" s="2568">
        <f ca="1">IF(H88="仅含出让金",C87+C90+C91+C92+C93+C94,C87+C91+C92+C93+C94)</f>
        <v>370</v>
      </c>
      <c r="D86" s="2581"/>
      <c r="E86" s="3564"/>
      <c r="F86" s="3563"/>
      <c r="G86" s="35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1409</v>
      </c>
      <c r="C87" s="2576">
        <f>C88+C89</f>
        <v>0</v>
      </c>
      <c r="D87" s="2577"/>
      <c r="E87" s="3559"/>
      <c r="F87" s="3560"/>
      <c r="G87" s="3560"/>
      <c r="H87" s="35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1410</v>
      </c>
      <c r="C88" s="2582"/>
      <c r="D88" s="2577"/>
      <c r="E88" s="193" t="s">
        <v>1411</v>
      </c>
      <c r="F88" s="3560"/>
      <c r="G88" s="194" t="s">
        <v>1412</v>
      </c>
      <c r="H88" s="1824"/>
      <c r="I88" s="1821"/>
      <c r="J88" s="2521" t="s">
        <v>2285</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1401</v>
      </c>
      <c r="C89" s="2576">
        <f>ROUND(C88*D89,0)</f>
        <v>0</v>
      </c>
      <c r="D89" s="2577">
        <f>'数据-取费表'!B48+'数据-取费表'!B49</f>
        <v>3.0499999999999999E-2</v>
      </c>
      <c r="E89" s="193" t="s">
        <v>1413</v>
      </c>
      <c r="F89" s="3560"/>
      <c r="G89" s="3560"/>
      <c r="H89" s="35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1414</v>
      </c>
      <c r="C90" s="2582"/>
      <c r="D90" s="2577"/>
      <c r="E90" s="193" t="str">
        <f>IF(H88="-","土地取得成本中已包含该笔费用"," ")</f>
        <v xml:space="preserve"> </v>
      </c>
      <c r="F90" s="3560"/>
      <c r="G90" s="3848" t="s">
        <v>2126</v>
      </c>
      <c r="H90" s="3849"/>
      <c r="I90" s="1821"/>
      <c r="J90" s="2521" t="s">
        <v>2286</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1415</v>
      </c>
      <c r="B91" s="170" t="s">
        <v>1416</v>
      </c>
      <c r="C91" s="2576">
        <f>IF(H91="——",成本法!C33,I91)</f>
        <v>0</v>
      </c>
      <c r="D91" s="2577"/>
      <c r="E91" s="3766" t="s">
        <v>1417</v>
      </c>
      <c r="F91" s="3767"/>
      <c r="G91" s="376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1418</v>
      </c>
      <c r="B92" s="170" t="s">
        <v>1419</v>
      </c>
      <c r="C92" s="2576">
        <f>ROUND((C87+C90+C91)*D92,0)</f>
        <v>0</v>
      </c>
      <c r="D92" s="2583"/>
      <c r="E92" s="3766" t="s">
        <v>1420</v>
      </c>
      <c r="F92" s="3767"/>
      <c r="G92" s="3767"/>
      <c r="H92" s="3776"/>
      <c r="I92" s="1821"/>
      <c r="J92" s="2522" t="s">
        <v>2287</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1421</v>
      </c>
      <c r="B93" s="170" t="s">
        <v>1403</v>
      </c>
      <c r="C93" s="2576">
        <f ca="1">ROUND(D45*D93/(1+'数据-取费表'!C42),0)</f>
        <v>370</v>
      </c>
      <c r="D93" s="2577">
        <f>'数据-取费表'!B43</f>
        <v>6.000000000000001E-3</v>
      </c>
      <c r="E93" s="3766" t="s">
        <v>1404</v>
      </c>
      <c r="F93" s="3767"/>
      <c r="G93" s="3767"/>
      <c r="H93" s="377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1422</v>
      </c>
      <c r="B94" s="170" t="s">
        <v>1423</v>
      </c>
      <c r="C94" s="2582">
        <f>ROUND((C87+C90+C91)*D94,0)</f>
        <v>0</v>
      </c>
      <c r="D94" s="2577">
        <v>0.2</v>
      </c>
      <c r="E94" s="3777" t="s">
        <v>1424</v>
      </c>
      <c r="F94" s="3778"/>
      <c r="G94" s="3778"/>
      <c r="H94" s="377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328</v>
      </c>
      <c r="B95" s="174" t="s">
        <v>1405</v>
      </c>
      <c r="C95" s="2568">
        <f ca="1">ROUND(C85-C86,0)</f>
        <v>61329</v>
      </c>
      <c r="D95" s="170" t="s">
        <v>26</v>
      </c>
      <c r="E95" s="3564"/>
      <c r="F95" s="3563"/>
      <c r="G95" s="35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1406</v>
      </c>
      <c r="C96" s="2578">
        <f ca="1">IF(C95&lt;=0,0,C95/C86)</f>
        <v>165.75405405405405</v>
      </c>
      <c r="D96" s="170" t="s">
        <v>26</v>
      </c>
      <c r="E96" s="3551" t="str">
        <f ca="1">IF(C96&gt;=200%,"增值额超过扣除项目金额200%",IF(C96&gt;=100%,"增值额超过扣除项目金额100%，未超过200%",IF(C96&gt;=50%,"增值额超过扣除项目金额50%，未超过100%",IF(C96&lt;50%,"增值额未超过扣除项目金额50%"))))</f>
        <v>增值额超过扣除项目金额200%</v>
      </c>
      <c r="F96" s="3563"/>
      <c r="G96" s="35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1407</v>
      </c>
      <c r="C97" s="2579">
        <f ca="1">ROUND(IF(C95&lt;=0,0,IF(C96&gt;=200%,C95*60%-C86*35%,IF(C96&gt;=100%,C95*50%-C86*15%,IF(C96&gt;=50%,C95*40%-C86*5%,IF(C96&lt;50%,C95*30%,0))))),0)</f>
        <v>36668</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1425</v>
      </c>
      <c r="B99" s="1747"/>
      <c r="C99" s="1747"/>
      <c r="D99" s="1747"/>
      <c r="E99" s="1578"/>
      <c r="F99" s="1578"/>
      <c r="G99" s="1578"/>
      <c r="H99" s="1577"/>
      <c r="I99" s="129"/>
    </row>
    <row r="100" spans="1:35" ht="18.75" customHeight="1">
      <c r="A100" s="3750" t="s">
        <v>1426</v>
      </c>
      <c r="B100" s="3751"/>
      <c r="C100" s="3751"/>
      <c r="D100" s="3768"/>
      <c r="E100" s="3751" t="s">
        <v>1427</v>
      </c>
      <c r="F100" s="3751"/>
      <c r="G100" s="3751"/>
      <c r="H100" s="3768"/>
      <c r="I100" s="129"/>
    </row>
    <row r="101" spans="1:35" ht="18.75" customHeight="1">
      <c r="A101" s="3829" t="s">
        <v>1428</v>
      </c>
      <c r="B101" s="3830"/>
      <c r="C101" s="2585" t="str">
        <f>C4</f>
        <v>成本法(划拨)</v>
      </c>
      <c r="D101" s="2586" t="str">
        <f>D4</f>
        <v>收益法(划拨)</v>
      </c>
      <c r="E101" s="3843" t="s">
        <v>1429</v>
      </c>
      <c r="F101" s="3800"/>
      <c r="G101" s="1827" t="s">
        <v>1430</v>
      </c>
      <c r="H101" s="2595">
        <f ca="1">H118</f>
        <v>64784</v>
      </c>
      <c r="I101" s="129"/>
    </row>
    <row r="102" spans="1:35" ht="18.75" customHeight="1">
      <c r="A102" s="3802" t="s">
        <v>1431</v>
      </c>
      <c r="B102" s="2584" t="s">
        <v>1430</v>
      </c>
      <c r="C102" s="2585">
        <f ca="1">IF(D32="楼面单价",ROUND(C19,0),C19)</f>
        <v>99168</v>
      </c>
      <c r="D102" s="2586">
        <f ca="1">IF(D32="楼面单价",ROUND(D19,0),D19)</f>
        <v>63991</v>
      </c>
      <c r="E102" s="3843"/>
      <c r="F102" s="3800"/>
      <c r="G102" s="1827" t="s">
        <v>1432</v>
      </c>
      <c r="H102" s="2555">
        <f ca="1">I118</f>
        <v>37490</v>
      </c>
      <c r="I102" s="129"/>
    </row>
    <row r="103" spans="1:35" ht="42.75" customHeight="1">
      <c r="A103" s="3802"/>
      <c r="B103" s="2584" t="s">
        <v>1432</v>
      </c>
      <c r="C103" s="2587">
        <f ca="1">C20</f>
        <v>57388</v>
      </c>
      <c r="D103" s="2588">
        <f ca="1">D20</f>
        <v>37031</v>
      </c>
      <c r="E103" s="3837" t="s">
        <v>1433</v>
      </c>
      <c r="F103" s="3838"/>
      <c r="G103" s="1828" t="s">
        <v>1434</v>
      </c>
      <c r="H103" s="2595">
        <f>IF(D36="正常操作",H104+H105+H106,H105+H106)</f>
        <v>0</v>
      </c>
      <c r="I103" s="129"/>
    </row>
    <row r="104" spans="1:35" ht="18.75" customHeight="1">
      <c r="A104" s="3802" t="s">
        <v>1435</v>
      </c>
      <c r="B104" s="2589" t="s">
        <v>1430</v>
      </c>
      <c r="C104" s="2590">
        <f ca="1">H118</f>
        <v>64784</v>
      </c>
      <c r="D104" s="2591"/>
      <c r="E104" s="1674" t="s">
        <v>1436</v>
      </c>
      <c r="F104" s="1666"/>
      <c r="G104" s="1828" t="s">
        <v>1434</v>
      </c>
      <c r="H104" s="2596">
        <f>IF(D36="同一抵押权人同一抵押物续贷",C36&amp;"（续贷，未扣减，详见特别提示）",C36)</f>
        <v>0</v>
      </c>
      <c r="I104" s="129"/>
    </row>
    <row r="105" spans="1:35" ht="18.75" customHeight="1" thickBot="1">
      <c r="A105" s="3803"/>
      <c r="B105" s="2592" t="s">
        <v>1432</v>
      </c>
      <c r="C105" s="2593">
        <f ca="1">I118</f>
        <v>37490</v>
      </c>
      <c r="D105" s="2594"/>
      <c r="E105" s="1674" t="s">
        <v>1437</v>
      </c>
      <c r="F105" s="1666"/>
      <c r="G105" s="1828" t="s">
        <v>1434</v>
      </c>
      <c r="H105" s="2597">
        <f>C37</f>
        <v>0</v>
      </c>
      <c r="I105" s="129"/>
    </row>
    <row r="106" spans="1:35" ht="18.75" customHeight="1">
      <c r="A106" s="1747" t="s">
        <v>1438</v>
      </c>
      <c r="B106" s="1747"/>
      <c r="C106" s="1747"/>
      <c r="D106" s="1747"/>
      <c r="E106" s="1829" t="s">
        <v>1439</v>
      </c>
      <c r="F106" s="1666"/>
      <c r="G106" s="1828" t="s">
        <v>1434</v>
      </c>
      <c r="H106" s="2597">
        <f>C38</f>
        <v>0</v>
      </c>
      <c r="I106" s="129"/>
    </row>
    <row r="107" spans="1:35" ht="18.75" customHeight="1">
      <c r="A107" s="129"/>
      <c r="B107" s="129"/>
      <c r="C107" s="129"/>
      <c r="D107" s="129"/>
      <c r="E107" s="3799" t="str">
        <f>IF(项目基本情况!E8="已注销","——","3.房地产抵押价值")</f>
        <v>3.房地产抵押价值</v>
      </c>
      <c r="F107" s="3800"/>
      <c r="G107" s="1827" t="s">
        <v>1430</v>
      </c>
      <c r="H107" s="2595">
        <f ca="1">IF(E107="——","——",H101-H103)</f>
        <v>64784</v>
      </c>
      <c r="I107" s="129"/>
    </row>
    <row r="108" spans="1:35" ht="18.75" customHeight="1">
      <c r="A108" s="129"/>
      <c r="B108" s="129"/>
      <c r="C108" s="129"/>
      <c r="D108" s="129"/>
      <c r="E108" s="3799"/>
      <c r="F108" s="3800"/>
      <c r="G108" s="1827" t="s">
        <v>1432</v>
      </c>
      <c r="H108" s="2555">
        <f ca="1">IF(H107=H101,H102,ROUND(H107*10000/'数据-汇总表'!E3,0))</f>
        <v>37490</v>
      </c>
      <c r="I108" s="129"/>
    </row>
    <row r="109" spans="1:35" ht="18.75" customHeight="1">
      <c r="A109" s="129"/>
      <c r="B109" s="129"/>
      <c r="C109" s="129"/>
      <c r="D109" s="129"/>
      <c r="E109" s="3799" t="str">
        <f>IF(项目基本情况!E8="已注销及未注销","4.抵押担保权已注销时的房地产抵押价值",IF(项目基本情况!E8="已注销","3.抵押担保权已注销时的房地产抵押价值","——"))</f>
        <v>——</v>
      </c>
      <c r="F109" s="3800"/>
      <c r="G109" s="1827" t="s">
        <v>1430</v>
      </c>
      <c r="H109" s="2598" t="str">
        <f>IF(E109="——","——",H101-H105-H106)</f>
        <v>——</v>
      </c>
      <c r="I109" s="129"/>
    </row>
    <row r="110" spans="1:35" ht="18.75" customHeight="1">
      <c r="A110" s="129"/>
      <c r="B110" s="129"/>
      <c r="C110" s="129"/>
      <c r="D110" s="129"/>
      <c r="E110" s="3799"/>
      <c r="F110" s="3800"/>
      <c r="G110" s="1827" t="s">
        <v>1432</v>
      </c>
      <c r="H110" s="2555" t="str">
        <f>IF(H109="——","——",ROUND(H109*10000/'数据-汇总表'!E3,0))</f>
        <v>——</v>
      </c>
      <c r="I110" s="129"/>
    </row>
    <row r="111" spans="1:35" ht="18.75" customHeight="1">
      <c r="A111" s="129"/>
      <c r="B111" s="129"/>
      <c r="C111" s="129"/>
      <c r="D111" s="129"/>
      <c r="E111" s="3831" t="str">
        <f>IF(项目基本情况!E9="抵押净值",IF(OR(项目基本情况!E8="已注销",项目基本情况!E8="房地产抵押价值"),"4.抵押净值","5.抵押净值"),"——")</f>
        <v>——</v>
      </c>
      <c r="F111" s="3801"/>
      <c r="G111" s="1827" t="s">
        <v>1430</v>
      </c>
      <c r="H111" s="2595" t="str">
        <f>IF(E111="——","——",N59)</f>
        <v>——</v>
      </c>
      <c r="I111" s="129"/>
    </row>
    <row r="112" spans="1:35" ht="18.75" customHeight="1" thickBot="1">
      <c r="A112" s="129"/>
      <c r="B112" s="129"/>
      <c r="C112" s="129"/>
      <c r="D112" s="129"/>
      <c r="E112" s="3832"/>
      <c r="F112" s="3833"/>
      <c r="G112" s="1830" t="s">
        <v>1432</v>
      </c>
      <c r="H112" s="2599" t="str">
        <f>IF(E111="——","——",N61)</f>
        <v>——</v>
      </c>
      <c r="I112" s="129"/>
    </row>
    <row r="113" spans="1:27" ht="18.75" customHeight="1">
      <c r="A113" s="129"/>
      <c r="B113" s="129"/>
      <c r="C113" s="129"/>
      <c r="D113" s="129"/>
      <c r="E113" s="3804" t="s">
        <v>1438</v>
      </c>
      <c r="F113" s="3804"/>
      <c r="G113" s="3804"/>
      <c r="H113" s="3804"/>
      <c r="I113" s="129"/>
    </row>
    <row r="114" spans="1:27" ht="3.75" customHeight="1">
      <c r="A114" s="1747"/>
      <c r="B114" s="1747"/>
      <c r="C114" s="1747"/>
      <c r="D114" s="1747"/>
      <c r="E114" s="1809"/>
      <c r="F114" s="1809"/>
      <c r="G114" s="1809"/>
      <c r="H114" s="1809"/>
      <c r="I114" s="1747"/>
    </row>
    <row r="115" spans="1:27" ht="18.75" customHeight="1">
      <c r="A115" s="3814" t="s">
        <v>1440</v>
      </c>
      <c r="B115" s="3815"/>
      <c r="C115" s="3815"/>
      <c r="D115" s="3815"/>
      <c r="E115" s="3815"/>
      <c r="F115" s="3815"/>
      <c r="G115" s="3815"/>
      <c r="H115" s="3815"/>
      <c r="I115" s="3816"/>
    </row>
    <row r="116" spans="1:27" ht="27" customHeight="1">
      <c r="A116" s="3770" t="s">
        <v>1441</v>
      </c>
      <c r="B116" s="3805" t="s">
        <v>1442</v>
      </c>
      <c r="C116" s="3805" t="s">
        <v>1443</v>
      </c>
      <c r="D116" s="3818" t="s">
        <v>1444</v>
      </c>
      <c r="E116" s="3819"/>
      <c r="F116" s="3813" t="s">
        <v>1445</v>
      </c>
      <c r="G116" s="3813"/>
      <c r="H116" s="3770" t="s">
        <v>1446</v>
      </c>
      <c r="I116" s="3770"/>
    </row>
    <row r="117" spans="1:27" ht="18.75" customHeight="1">
      <c r="A117" s="3770"/>
      <c r="B117" s="3806"/>
      <c r="C117" s="3806"/>
      <c r="D117" s="3554" t="s">
        <v>1447</v>
      </c>
      <c r="E117" s="3554" t="s">
        <v>1448</v>
      </c>
      <c r="F117" s="3554" t="s">
        <v>1447</v>
      </c>
      <c r="G117" s="3554" t="s">
        <v>1449</v>
      </c>
      <c r="H117" s="3554" t="s">
        <v>1447</v>
      </c>
      <c r="I117" s="3554" t="s">
        <v>1449</v>
      </c>
    </row>
    <row r="118" spans="1:27" ht="24.75" customHeight="1">
      <c r="A118" s="2600" t="str">
        <f>项目基本情况!S2</f>
        <v>北京市房地产</v>
      </c>
      <c r="B118" s="3554">
        <f>M18</f>
        <v>17280.400000000001</v>
      </c>
      <c r="C118" s="3554">
        <f>M19</f>
        <v>0</v>
      </c>
      <c r="D118" s="3554" t="e">
        <f ca="1">ROUND(IF(D32="总价",C34,E118*B118/10000),0)</f>
        <v>#REF!</v>
      </c>
      <c r="E118" s="3554" t="e">
        <f ca="1">ROUND(IF(C33="自定义",IF(D32="楼面单价",C34,D118*10000/B118),I118-G118),0)</f>
        <v>#REF!</v>
      </c>
      <c r="F118" s="3554" t="e">
        <f ca="1">ROUND(IF(D32="总价",C35,G118*B118/10000),0)</f>
        <v>#REF!</v>
      </c>
      <c r="G118" s="3554" t="e">
        <f ca="1">ROUND(IF(D32="楼面单价",C35,F118*10000/B118),0)</f>
        <v>#REF!</v>
      </c>
      <c r="H118" s="3554">
        <f ca="1">ROUND(IF(D32="总价",C32,I118*B118/10000),0)</f>
        <v>64784</v>
      </c>
      <c r="I118" s="3554">
        <f ca="1">ROUND(IF(D32="楼面单价",C32,H118*10000/B118),0)</f>
        <v>37490</v>
      </c>
    </row>
    <row r="119" spans="1:27" ht="18.75" customHeight="1">
      <c r="A119" s="3770" t="s">
        <v>1450</v>
      </c>
      <c r="B119" s="3770"/>
      <c r="C119" s="3770"/>
      <c r="D119" s="3810" t="e">
        <f ca="1">NUMBERSTRING(INT(D118*10000),2)&amp;"元整"</f>
        <v>#REF!</v>
      </c>
      <c r="E119" s="3812"/>
      <c r="F119" s="3810" t="e">
        <f ca="1">NUMBERSTRING(INT(F118*10000),2)&amp;"元整"</f>
        <v>#REF!</v>
      </c>
      <c r="G119" s="3812"/>
      <c r="H119" s="3810" t="str">
        <f ca="1">NUMBERSTRING(INT(H118*10000),2)&amp;"元整"</f>
        <v>陆亿肆仟柒佰捌拾肆万元整</v>
      </c>
      <c r="I119" s="3812"/>
    </row>
    <row r="120" spans="1:27" ht="18.75" customHeight="1">
      <c r="A120" s="3834" t="str">
        <f>IF(项目基本情况!B9="房地产市场价值","",MID(E103,3,LEN(E103)-2))</f>
        <v>估价师知悉的法定优先受偿款</v>
      </c>
      <c r="B120" s="3835"/>
      <c r="C120" s="3836"/>
      <c r="D120" s="3834">
        <f>H103</f>
        <v>0</v>
      </c>
      <c r="E120" s="3835"/>
      <c r="F120" s="3835"/>
      <c r="G120" s="3835"/>
      <c r="H120" s="3835"/>
      <c r="I120" s="3836"/>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810" t="s">
        <v>1450</v>
      </c>
      <c r="B121" s="3811"/>
      <c r="C121" s="3812"/>
      <c r="D121" s="3810" t="str">
        <f>IF(D120=0,"零元整",NUMBERSTRING(INT(D120*10000),2)&amp;"元整")</f>
        <v>零元整</v>
      </c>
      <c r="E121" s="3811"/>
      <c r="F121" s="3811"/>
      <c r="G121" s="3811"/>
      <c r="H121" s="3811"/>
      <c r="I121" s="3812"/>
      <c r="AA121" s="725"/>
    </row>
    <row r="122" spans="1:27" ht="18.75" customHeight="1">
      <c r="A122" s="3801" t="str">
        <f>IF(项目基本情况!B9="房地产市场价值","",MID(E107,3,LEN(E107)-2))</f>
        <v>房地产抵押价值</v>
      </c>
      <c r="B122" s="3801"/>
      <c r="C122" s="3801"/>
      <c r="D122" s="3834">
        <f ca="1">H107</f>
        <v>64784</v>
      </c>
      <c r="E122" s="3835"/>
      <c r="F122" s="3835"/>
      <c r="G122" s="3835"/>
      <c r="H122" s="3835"/>
      <c r="I122" s="3836"/>
      <c r="AA122" s="725"/>
    </row>
    <row r="123" spans="1:27" ht="18.75" customHeight="1">
      <c r="A123" s="3770" t="s">
        <v>1450</v>
      </c>
      <c r="B123" s="3770"/>
      <c r="C123" s="3770"/>
      <c r="D123" s="3810" t="str">
        <f ca="1">NUMBERSTRING(INT(D122*10000),2)&amp;"元整"</f>
        <v>陆亿肆仟柒佰捌拾肆万元整</v>
      </c>
      <c r="E123" s="3811"/>
      <c r="F123" s="3811"/>
      <c r="G123" s="3811"/>
      <c r="H123" s="3811"/>
      <c r="I123" s="3812"/>
      <c r="AA123" s="725"/>
    </row>
    <row r="124" spans="1:27" ht="18.75" customHeight="1">
      <c r="A124" s="3801" t="str">
        <f>IF(项目基本情况!B9="房地产市场价值","",MID(E109,3,LEN(E109)-2))</f>
        <v/>
      </c>
      <c r="B124" s="3801"/>
      <c r="C124" s="3801"/>
      <c r="D124" s="3834" t="str">
        <f>H109</f>
        <v>——</v>
      </c>
      <c r="E124" s="3835"/>
      <c r="F124" s="3835"/>
      <c r="G124" s="3835"/>
      <c r="H124" s="3835"/>
      <c r="I124" s="3836"/>
      <c r="AA124" s="725"/>
    </row>
    <row r="125" spans="1:27" ht="18.75" customHeight="1">
      <c r="A125" s="3770" t="s">
        <v>1450</v>
      </c>
      <c r="B125" s="3770"/>
      <c r="C125" s="3770"/>
      <c r="D125" s="3810" t="e">
        <f>NUMBERSTRING(INT(D124*10000),2)&amp;"元整"</f>
        <v>#VALUE!</v>
      </c>
      <c r="E125" s="3811"/>
      <c r="F125" s="3811"/>
      <c r="G125" s="3811"/>
      <c r="H125" s="3811"/>
      <c r="I125" s="3812"/>
      <c r="AA125" s="725"/>
    </row>
    <row r="126" spans="1:27" ht="18.75" customHeight="1">
      <c r="A126" s="3801" t="str">
        <f>IF(项目基本情况!B9="房地产市场价值","",MID(E111,3,LEN(E111)-2))</f>
        <v/>
      </c>
      <c r="B126" s="3801"/>
      <c r="C126" s="3801"/>
      <c r="D126" s="3834" t="str">
        <f>H111</f>
        <v>——</v>
      </c>
      <c r="E126" s="3835"/>
      <c r="F126" s="3835"/>
      <c r="G126" s="3835"/>
      <c r="H126" s="3835"/>
      <c r="I126" s="3836"/>
      <c r="AA126" s="725"/>
    </row>
    <row r="127" spans="1:27" ht="18.75" customHeight="1">
      <c r="A127" s="3770" t="s">
        <v>1450</v>
      </c>
      <c r="B127" s="3770"/>
      <c r="C127" s="3770"/>
      <c r="D127" s="3810" t="e">
        <f>NUMBERSTRING(INT(D126*10000),2)&amp;"元整"</f>
        <v>#VALUE!</v>
      </c>
      <c r="E127" s="3811"/>
      <c r="F127" s="3811"/>
      <c r="G127" s="3811"/>
      <c r="H127" s="3811"/>
      <c r="I127" s="3812"/>
      <c r="AA127" s="725"/>
    </row>
    <row r="128" spans="1:27" ht="21.75" customHeight="1">
      <c r="A128" s="3817" t="s">
        <v>1451</v>
      </c>
      <c r="B128" s="3817"/>
      <c r="C128" s="3817"/>
      <c r="D128" s="3817"/>
      <c r="E128" s="3817"/>
      <c r="F128" s="3817"/>
      <c r="G128" s="3817"/>
      <c r="H128" s="3817"/>
      <c r="I128" s="3817"/>
      <c r="AA128" s="725"/>
    </row>
    <row r="129" spans="1:35" ht="21.75" customHeight="1">
      <c r="A129" s="1831" t="s">
        <v>1452</v>
      </c>
      <c r="B129" s="1832"/>
      <c r="C129" s="1833" t="s">
        <v>1453</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1454</v>
      </c>
      <c r="G135" s="1848"/>
      <c r="H135" s="1848"/>
      <c r="I135" s="1849" t="s">
        <v>1455</v>
      </c>
    </row>
    <row r="136" spans="1:35" ht="21.75" customHeight="1">
      <c r="A136" s="725"/>
      <c r="B136" s="1850" t="s">
        <v>1456</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1457</v>
      </c>
    </row>
    <row r="139" spans="1:35" ht="21.75" customHeight="1">
      <c r="A139" s="725"/>
      <c r="B139" s="1850" t="s">
        <v>1458</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1457</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73" priority="10" stopIfTrue="1" operator="equal">
      <formula>25</formula>
    </cfRule>
  </conditionalFormatting>
  <conditionalFormatting sqref="C8:C9">
    <cfRule type="cellIs" dxfId="172" priority="9" stopIfTrue="1" operator="equal">
      <formula>15</formula>
    </cfRule>
  </conditionalFormatting>
  <conditionalFormatting sqref="C14:C16">
    <cfRule type="cellIs" dxfId="171" priority="8" stopIfTrue="1" operator="equal">
      <formula>30</formula>
    </cfRule>
  </conditionalFormatting>
  <conditionalFormatting sqref="D5:D7">
    <cfRule type="cellIs" dxfId="170" priority="7" stopIfTrue="1" operator="equal">
      <formula>25</formula>
    </cfRule>
  </conditionalFormatting>
  <conditionalFormatting sqref="D8:D9">
    <cfRule type="cellIs" dxfId="169" priority="6" stopIfTrue="1" operator="equal">
      <formula>15</formula>
    </cfRule>
  </conditionalFormatting>
  <conditionalFormatting sqref="C10:D13">
    <cfRule type="cellIs" dxfId="168" priority="5" stopIfTrue="1" operator="equal">
      <formula>15</formula>
    </cfRule>
  </conditionalFormatting>
  <conditionalFormatting sqref="D14:D16">
    <cfRule type="cellIs" dxfId="167" priority="4" stopIfTrue="1" operator="equal">
      <formula>30</formula>
    </cfRule>
  </conditionalFormatting>
  <conditionalFormatting sqref="C90">
    <cfRule type="expression" dxfId="166" priority="3" stopIfTrue="1">
      <formula>$H$88&lt;&gt;"仅含出让金"</formula>
    </cfRule>
  </conditionalFormatting>
  <conditionalFormatting sqref="C91">
    <cfRule type="expression" dxfId="165" priority="2" stopIfTrue="1">
      <formula>$H$91="由企业提供"</formula>
    </cfRule>
  </conditionalFormatting>
  <conditionalFormatting sqref="E36">
    <cfRule type="expression" dxfId="164"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9" zoomScale="85" zoomScaleNormal="70" zoomScaleSheetLayoutView="85"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1459</v>
      </c>
      <c r="B1" s="1470" t="s">
        <v>3645</v>
      </c>
      <c r="C1" s="198"/>
      <c r="D1" s="198"/>
      <c r="E1" s="198"/>
      <c r="F1" s="198"/>
      <c r="G1" s="1126">
        <f>MATCH(B1,'数据-取费表'!A6:A16,0)+5</f>
        <v>7</v>
      </c>
    </row>
    <row r="2" spans="1:9" s="200" customFormat="1" ht="18" customHeight="1">
      <c r="A2" s="201" t="s">
        <v>683</v>
      </c>
      <c r="B2" s="202">
        <f ca="1">IF(D2="——",C52,C52-E2)</f>
        <v>99168</v>
      </c>
      <c r="C2" s="199" t="s">
        <v>1461</v>
      </c>
      <c r="D2" s="1853" t="s">
        <v>43</v>
      </c>
      <c r="E2" s="1169" t="e">
        <f ca="1">SUMIF(INDIRECT("'"&amp;G2&amp;"'"&amp;"!A:A"),"承租人权益价值",INDIRECT("'"&amp;G2&amp;"'"&amp;"!c:c"))</f>
        <v>#REF!</v>
      </c>
      <c r="F2" s="1854" t="s">
        <v>1461</v>
      </c>
      <c r="G2" s="1855"/>
    </row>
    <row r="3" spans="1:9" s="200" customFormat="1" ht="18" customHeight="1" thickBot="1">
      <c r="A3" s="203" t="s">
        <v>684</v>
      </c>
      <c r="B3" s="204">
        <f ca="1">ROUND(B2*10000/(IF(B1="",'数据-汇总表'!E3,INDIRECT("'数据-取费表'!k"&amp;$G$1))),0)</f>
        <v>57388</v>
      </c>
      <c r="C3" s="199" t="s">
        <v>1463</v>
      </c>
      <c r="D3" s="199"/>
      <c r="E3" s="199"/>
      <c r="F3" s="199"/>
      <c r="G3" s="199"/>
    </row>
    <row r="4" spans="1:9" s="208" customFormat="1" ht="15.75">
      <c r="A4" s="205" t="s">
        <v>1464</v>
      </c>
      <c r="B4" s="206"/>
      <c r="C4" s="206"/>
      <c r="D4" s="206"/>
      <c r="E4" s="206"/>
      <c r="F4" s="206"/>
      <c r="G4" s="207"/>
    </row>
    <row r="5" spans="1:9" s="214" customFormat="1" ht="13.5" customHeight="1">
      <c r="A5" s="255" t="s">
        <v>337</v>
      </c>
      <c r="B5" s="210" t="s">
        <v>1466</v>
      </c>
      <c r="C5" s="211">
        <f ca="1">C6+C7+C8</f>
        <v>67529</v>
      </c>
      <c r="D5" s="211" t="s">
        <v>1467</v>
      </c>
      <c r="E5" s="212" t="s">
        <v>1468</v>
      </c>
      <c r="F5" s="212" t="s">
        <v>1469</v>
      </c>
      <c r="G5" s="213"/>
    </row>
    <row r="6" spans="1:9" s="214" customFormat="1" ht="13.5" customHeight="1">
      <c r="A6" s="778" t="s">
        <v>346</v>
      </c>
      <c r="B6" s="215" t="s">
        <v>1471</v>
      </c>
      <c r="C6" s="216">
        <f>'基准地价修正(划拨)'!B2</f>
        <v>65195</v>
      </c>
      <c r="D6" s="217"/>
      <c r="E6" s="218"/>
      <c r="F6" s="218"/>
      <c r="G6" s="219"/>
    </row>
    <row r="7" spans="1:9" s="214" customFormat="1" ht="13.5" customHeight="1">
      <c r="A7" s="778" t="s">
        <v>1472</v>
      </c>
      <c r="B7" s="215" t="s">
        <v>1473</v>
      </c>
      <c r="C7" s="220">
        <f>ROUND(C6*F7,0)</f>
        <v>1988</v>
      </c>
      <c r="D7" s="220"/>
      <c r="E7" s="218"/>
      <c r="F7" s="221">
        <f>IF(项目基本情况!B8="出让",0,'数据-取费表'!B48+'数据-取费表'!B49)</f>
        <v>3.0499999999999999E-2</v>
      </c>
      <c r="G7" s="219"/>
    </row>
    <row r="8" spans="1:9" s="223" customFormat="1">
      <c r="A8" s="778" t="s">
        <v>348</v>
      </c>
      <c r="B8" s="215" t="s">
        <v>1475</v>
      </c>
      <c r="C8" s="220">
        <f ca="1">IF(G8="已包含在土地购买价格中","0",IF(B1="",'数据-取费表'!B29,IF(G9="全部缴纳",C9+C10,H9)))</f>
        <v>346</v>
      </c>
      <c r="D8" s="222"/>
      <c r="E8" s="220"/>
      <c r="F8" s="221"/>
      <c r="G8" s="1856" t="s">
        <v>3553</v>
      </c>
    </row>
    <row r="9" spans="1:9" s="214" customFormat="1" ht="13.5" customHeight="1">
      <c r="A9" s="779" t="s">
        <v>355</v>
      </c>
      <c r="B9" s="224" t="s">
        <v>1476</v>
      </c>
      <c r="C9" s="225">
        <f ca="1">ROUND(D9*E9/10000,0)</f>
        <v>0</v>
      </c>
      <c r="D9" s="845">
        <f ca="1">IF(B1="",'数据-汇总表'!E5,IF(INDIRECT("'数据-取费表'!c"&amp;$G$1)="住宅",INDIRECT("'数据-取费表'!k"&amp;$G$1),0))</f>
        <v>0</v>
      </c>
      <c r="E9" s="225">
        <f>'数据-取费表'!B27</f>
        <v>0</v>
      </c>
      <c r="F9" s="221"/>
      <c r="G9" s="1857" t="s">
        <v>3554</v>
      </c>
      <c r="H9" s="1137"/>
      <c r="I9" s="1858" t="s">
        <v>1477</v>
      </c>
    </row>
    <row r="10" spans="1:9" s="214" customFormat="1" ht="13.5" customHeight="1">
      <c r="A10" s="779" t="s">
        <v>356</v>
      </c>
      <c r="B10" s="224" t="s">
        <v>1478</v>
      </c>
      <c r="C10" s="225">
        <f ca="1">ROUND(D10*E10/10000,0)</f>
        <v>346</v>
      </c>
      <c r="D10" s="845">
        <f ca="1">IF(B1="",'数据-汇总表'!E6,IF(INDIRECT("'数据-取费表'!c"&amp;$G$1)="住宅",INDIRECT("'数据-取费表'!s"&amp;$G$1),INDIRECT("'数据-取费表'!k"&amp;$G$1)+INDIRECT("'数据-取费表'!s"&amp;$G$1)))</f>
        <v>17280.400000000001</v>
      </c>
      <c r="E10" s="225">
        <f>'数据-取费表'!B28</f>
        <v>200</v>
      </c>
      <c r="F10" s="221"/>
      <c r="G10" s="226"/>
    </row>
    <row r="11" spans="1:9" s="214" customFormat="1" ht="13.5" hidden="1" customHeight="1">
      <c r="A11" s="227" t="s">
        <v>4</v>
      </c>
      <c r="B11" s="215" t="s">
        <v>1479</v>
      </c>
      <c r="C11" s="211"/>
      <c r="D11" s="847"/>
      <c r="E11" s="218"/>
      <c r="F11" s="218"/>
      <c r="G11" s="219"/>
    </row>
    <row r="12" spans="1:9" s="214" customFormat="1" ht="13.5" hidden="1" customHeight="1">
      <c r="A12" s="227" t="s">
        <v>5</v>
      </c>
      <c r="B12" s="215" t="s">
        <v>1480</v>
      </c>
      <c r="C12" s="211">
        <v>0</v>
      </c>
      <c r="D12" s="847"/>
      <c r="E12" s="228"/>
      <c r="F12" s="221">
        <v>3.0499999999999999E-2</v>
      </c>
      <c r="G12" s="219"/>
    </row>
    <row r="13" spans="1:9" s="214" customFormat="1" ht="13.5" hidden="1" customHeight="1">
      <c r="A13" s="227" t="s">
        <v>6</v>
      </c>
      <c r="B13" s="215" t="s">
        <v>1481</v>
      </c>
      <c r="C13" s="211"/>
      <c r="D13" s="847"/>
      <c r="E13" s="218"/>
      <c r="F13" s="218"/>
      <c r="G13" s="219"/>
    </row>
    <row r="14" spans="1:9" s="214" customFormat="1" ht="13.5" hidden="1" customHeight="1">
      <c r="A14" s="227" t="s">
        <v>7</v>
      </c>
      <c r="B14" s="215" t="s">
        <v>1475</v>
      </c>
      <c r="C14" s="211"/>
      <c r="D14" s="847"/>
      <c r="E14" s="218"/>
      <c r="F14" s="218"/>
      <c r="G14" s="219" t="s">
        <v>1483</v>
      </c>
    </row>
    <row r="15" spans="1:9" s="214" customFormat="1" ht="13.5" hidden="1" customHeight="1">
      <c r="A15" s="227" t="s">
        <v>8</v>
      </c>
      <c r="B15" s="215" t="s">
        <v>1484</v>
      </c>
      <c r="C15" s="220"/>
      <c r="D15" s="847"/>
      <c r="E15" s="218"/>
      <c r="F15" s="218"/>
      <c r="G15" s="219" t="s">
        <v>1485</v>
      </c>
    </row>
    <row r="16" spans="1:9" s="214" customFormat="1" ht="13.5" hidden="1" customHeight="1">
      <c r="A16" s="227" t="s">
        <v>9</v>
      </c>
      <c r="B16" s="215" t="s">
        <v>1475</v>
      </c>
      <c r="C16" s="220"/>
      <c r="D16" s="847"/>
      <c r="E16" s="218"/>
      <c r="F16" s="218"/>
      <c r="G16" s="219"/>
    </row>
    <row r="17" spans="1:7" s="214" customFormat="1" ht="13.5" hidden="1" customHeight="1">
      <c r="A17" s="227" t="s">
        <v>10</v>
      </c>
      <c r="B17" s="215" t="s">
        <v>1486</v>
      </c>
      <c r="C17" s="229"/>
      <c r="D17" s="848"/>
      <c r="E17" s="229"/>
      <c r="F17" s="229"/>
      <c r="G17" s="219" t="s">
        <v>1485</v>
      </c>
    </row>
    <row r="18" spans="1:7" s="214" customFormat="1" ht="13.5" hidden="1" customHeight="1">
      <c r="A18" s="227" t="s">
        <v>11</v>
      </c>
      <c r="B18" s="215" t="s">
        <v>1487</v>
      </c>
      <c r="C18" s="220">
        <v>0</v>
      </c>
      <c r="D18" s="847"/>
      <c r="E18" s="218"/>
      <c r="F18" s="221">
        <v>3.0499999999999999E-2</v>
      </c>
      <c r="G18" s="219" t="s">
        <v>1488</v>
      </c>
    </row>
    <row r="19" spans="1:7" s="223" customFormat="1" ht="13.5" customHeight="1">
      <c r="A19" s="255" t="s">
        <v>1489</v>
      </c>
      <c r="B19" s="210" t="s">
        <v>1490</v>
      </c>
      <c r="C19" s="211" t="str">
        <f>IF(G19="已包含在土地取得成本中","0",ROUND(D19*E19/10000,0))</f>
        <v>0</v>
      </c>
      <c r="D19" s="849">
        <f ca="1">D9+D10</f>
        <v>17280.400000000001</v>
      </c>
      <c r="E19" s="211">
        <f>'数据-取费表'!B31</f>
        <v>200</v>
      </c>
      <c r="F19" s="231"/>
      <c r="G19" s="1856" t="s">
        <v>3555</v>
      </c>
    </row>
    <row r="20" spans="1:7" s="214" customFormat="1" ht="13.5" customHeight="1">
      <c r="A20" s="255" t="s">
        <v>1491</v>
      </c>
      <c r="B20" s="210" t="s">
        <v>1492</v>
      </c>
      <c r="C20" s="232">
        <f ca="1">ROUND((C5+C19)*F20,0)</f>
        <v>1351</v>
      </c>
      <c r="D20" s="232"/>
      <c r="E20" s="232"/>
      <c r="F20" s="233">
        <f>'数据-取费表'!B37</f>
        <v>0.02</v>
      </c>
      <c r="G20" s="234" t="s">
        <v>1493</v>
      </c>
    </row>
    <row r="21" spans="1:7" s="214" customFormat="1" ht="13.5" customHeight="1">
      <c r="A21" s="255" t="s">
        <v>1494</v>
      </c>
      <c r="B21" s="210" t="s">
        <v>1495</v>
      </c>
      <c r="C21" s="235">
        <f>F21</f>
        <v>0.02</v>
      </c>
      <c r="D21" s="236" t="s">
        <v>1496</v>
      </c>
      <c r="E21" s="232"/>
      <c r="F21" s="233">
        <f>'数据-取费表'!B38</f>
        <v>0.02</v>
      </c>
      <c r="G21" s="234" t="s">
        <v>1497</v>
      </c>
    </row>
    <row r="22" spans="1:7" s="214" customFormat="1" ht="13.5" customHeight="1">
      <c r="A22" s="255" t="s">
        <v>1498</v>
      </c>
      <c r="B22" s="210" t="s">
        <v>1499</v>
      </c>
      <c r="C22" s="1104">
        <f ca="1">ROUND(SUM(C23:C25),0)</f>
        <v>4787</v>
      </c>
      <c r="D22" s="235">
        <f ca="1">C26</f>
        <v>6.9999999999999999E-4</v>
      </c>
      <c r="E22" s="236" t="s">
        <v>1496</v>
      </c>
      <c r="F22" s="237">
        <f ca="1">'数据-取费表'!B40</f>
        <v>3.4500000000000003E-2</v>
      </c>
      <c r="G22" s="234" t="str">
        <f>IF('数据-取费表'!B22&lt;=1,"单利计息","复利计息")</f>
        <v>复利计息</v>
      </c>
    </row>
    <row r="23" spans="1:7" s="214" customFormat="1" ht="13.5" customHeight="1">
      <c r="A23" s="780" t="s">
        <v>346</v>
      </c>
      <c r="B23" s="215" t="s">
        <v>1501</v>
      </c>
      <c r="C23" s="1105">
        <f ca="1">ROUND(IF('数据-取费表'!B22&lt;=1,C5*F22*'数据-取费表'!B23,C5*(POWER((1+F22),'数据-取费表'!B23)-1)),0)</f>
        <v>4740</v>
      </c>
      <c r="D23" s="238"/>
      <c r="E23" s="238"/>
      <c r="F23" s="239"/>
      <c r="G23" s="240" t="s">
        <v>1502</v>
      </c>
    </row>
    <row r="24" spans="1:7" s="214" customFormat="1" ht="13.5" customHeight="1">
      <c r="A24" s="780" t="s">
        <v>1472</v>
      </c>
      <c r="B24" s="215" t="s">
        <v>1504</v>
      </c>
      <c r="C24" s="1105">
        <f ca="1">ROUND(IF('数据-取费表'!B22&lt;=1,C19*F22*('数据-取费表'!B19/2+'数据-取费表'!B21),C19*(POWER((1+F22),('数据-取费表'!B19/2+'数据-取费表'!B21))-1)),0)</f>
        <v>0</v>
      </c>
      <c r="D24" s="238"/>
      <c r="E24" s="238"/>
      <c r="F24" s="239"/>
      <c r="G24" s="240" t="s">
        <v>1505</v>
      </c>
    </row>
    <row r="25" spans="1:7" s="214" customFormat="1" ht="24">
      <c r="A25" s="780" t="s">
        <v>348</v>
      </c>
      <c r="B25" s="215" t="s">
        <v>1507</v>
      </c>
      <c r="C25" s="1105">
        <f ca="1">ROUND(IF('数据-取费表'!B22&lt;=1,C20*F22*'数据-取费表'!B23/2,C20*(POWER((1+F22),'数据-取费表'!B23/2)-1)),0)</f>
        <v>47</v>
      </c>
      <c r="D25" s="238"/>
      <c r="E25" s="241"/>
      <c r="F25" s="239"/>
      <c r="G25" s="242" t="s">
        <v>1508</v>
      </c>
    </row>
    <row r="26" spans="1:7" s="214" customFormat="1">
      <c r="A26" s="780" t="s">
        <v>350</v>
      </c>
      <c r="B26" s="215" t="s">
        <v>1509</v>
      </c>
      <c r="C26" s="238">
        <f ca="1">ROUND(IF('数据-取费表'!B22&lt;=1,F21*F22*'数据-取费表'!B23/2,F21*(POWER((1+F22),'数据-取费表'!B23/2)-1)),4)</f>
        <v>6.9999999999999999E-4</v>
      </c>
      <c r="D26" s="238"/>
      <c r="E26" s="241"/>
      <c r="F26" s="239"/>
      <c r="G26" s="243"/>
    </row>
    <row r="27" spans="1:7" s="214" customFormat="1" ht="24.75">
      <c r="A27" s="255" t="s">
        <v>1510</v>
      </c>
      <c r="B27" s="244" t="s">
        <v>1511</v>
      </c>
      <c r="C27" s="245">
        <f ca="1">C28</f>
        <v>10332</v>
      </c>
      <c r="D27" s="235">
        <f ca="1">C29</f>
        <v>3.0000000000000001E-3</v>
      </c>
      <c r="E27" s="236" t="s">
        <v>1496</v>
      </c>
      <c r="F27" s="246">
        <f ca="1">IF(B1="",'数据-取费表'!Q16,INDIRECT("'数据-取费表'!q"&amp;$G$1))</f>
        <v>0.15</v>
      </c>
      <c r="G27" s="247" t="s">
        <v>1513</v>
      </c>
    </row>
    <row r="28" spans="1:7" s="214" customFormat="1" ht="13.5" customHeight="1">
      <c r="A28" s="780" t="s">
        <v>346</v>
      </c>
      <c r="B28" s="248" t="s">
        <v>1514</v>
      </c>
      <c r="C28" s="249">
        <f ca="1">ROUND((C5+C19+C20)*F27*'数据-取费表'!B21/'数据-取费表'!B20,0)</f>
        <v>10332</v>
      </c>
      <c r="D28" s="235"/>
      <c r="E28" s="236"/>
      <c r="F28" s="246"/>
      <c r="G28" s="247"/>
    </row>
    <row r="29" spans="1:7" s="214" customFormat="1" ht="13.5" customHeight="1">
      <c r="A29" s="780" t="s">
        <v>347</v>
      </c>
      <c r="B29" s="248" t="s">
        <v>1515</v>
      </c>
      <c r="C29" s="238">
        <f ca="1">ROUND(C21*F27*'数据-取费表'!B21/'数据-取费表'!B20,4)</f>
        <v>3.0000000000000001E-3</v>
      </c>
      <c r="D29" s="235"/>
      <c r="E29" s="236"/>
      <c r="F29" s="246"/>
      <c r="G29" s="247"/>
    </row>
    <row r="30" spans="1:7" s="214" customFormat="1" ht="13.5" customHeight="1">
      <c r="A30" s="255" t="s">
        <v>1516</v>
      </c>
      <c r="B30" s="210" t="s">
        <v>1517</v>
      </c>
      <c r="C30" s="235">
        <f>ROUND(F30/(1+'数据-取费表'!C42),4)</f>
        <v>5.33E-2</v>
      </c>
      <c r="D30" s="236" t="s">
        <v>1496</v>
      </c>
      <c r="E30" s="241"/>
      <c r="F30" s="237">
        <f>'数据-取费表'!B41</f>
        <v>5.6000000000000001E-2</v>
      </c>
      <c r="G30" s="234" t="s">
        <v>1518</v>
      </c>
    </row>
    <row r="31" spans="1:7" ht="16.5" customHeight="1">
      <c r="A31" s="209">
        <v>1</v>
      </c>
      <c r="B31" s="210" t="s">
        <v>1519</v>
      </c>
      <c r="C31" s="211">
        <f ca="1">ROUND((C5+C19+C20+C22+C27)/(1-C21-D22-D27-C30),0)</f>
        <v>91007</v>
      </c>
      <c r="D31" s="230"/>
      <c r="E31" s="211"/>
      <c r="F31" s="250"/>
      <c r="G31" s="234" t="s">
        <v>1520</v>
      </c>
    </row>
    <row r="32" spans="1:7" s="208" customFormat="1" ht="15.75">
      <c r="A32" s="252" t="s">
        <v>1521</v>
      </c>
      <c r="B32" s="253"/>
      <c r="C32" s="253"/>
      <c r="D32" s="253"/>
      <c r="E32" s="253"/>
      <c r="F32" s="253"/>
      <c r="G32" s="254"/>
    </row>
    <row r="33" spans="1:7" s="214" customFormat="1" ht="13.5" customHeight="1">
      <c r="A33" s="255" t="s">
        <v>337</v>
      </c>
      <c r="B33" s="210" t="s">
        <v>1522</v>
      </c>
      <c r="C33" s="256">
        <f ca="1">SUM(C34:C38)</f>
        <v>9591</v>
      </c>
      <c r="D33" s="232"/>
      <c r="E33" s="212"/>
      <c r="F33" s="241"/>
      <c r="G33" s="234"/>
    </row>
    <row r="34" spans="1:7" s="258" customFormat="1" ht="13.5" customHeight="1">
      <c r="A34" s="780" t="s">
        <v>346</v>
      </c>
      <c r="B34" s="215" t="s">
        <v>1523</v>
      </c>
      <c r="C34" s="220">
        <f ca="1">IF(B1="",IF(F34=100%,'数据-取费表'!M16,'数据-取费表'!O16),IF(F34=100%,INDIRECT("'数据-取费表'!m"&amp;$G$1)+INDIRECT("'数据-取费表'!t"&amp;$G$1),INDIRECT("'数据-取费表'!o"&amp;$G$1)+INDIRECT("'数据-取费表'!aq"&amp;$G$1)))</f>
        <v>8640</v>
      </c>
      <c r="D34" s="217"/>
      <c r="E34" s="220"/>
      <c r="F34" s="257">
        <f ca="1">IF('数据-取费表'!B24=0,1,IF(B1="",'数据-取费表'!N16,INDIRECT("'数据-取费表'!n"&amp;$G$1)))</f>
        <v>1</v>
      </c>
      <c r="G34" s="219" t="s">
        <v>1524</v>
      </c>
    </row>
    <row r="35" spans="1:7" ht="13.5" customHeight="1">
      <c r="A35" s="780" t="s">
        <v>351</v>
      </c>
      <c r="B35" s="215" t="s">
        <v>1525</v>
      </c>
      <c r="C35" s="220">
        <f ca="1">ROUND(C34*F35,0)</f>
        <v>432</v>
      </c>
      <c r="D35" s="220"/>
      <c r="E35" s="220"/>
      <c r="F35" s="259">
        <f>'数据-取费表'!B33</f>
        <v>0.05</v>
      </c>
      <c r="G35" s="219" t="s">
        <v>1526</v>
      </c>
    </row>
    <row r="36" spans="1:7" ht="24">
      <c r="A36" s="780" t="s">
        <v>352</v>
      </c>
      <c r="B36" s="215" t="s">
        <v>1527</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1528</v>
      </c>
    </row>
    <row r="37" spans="1:7" s="258" customFormat="1" ht="13.5" customHeight="1">
      <c r="A37" s="780" t="s">
        <v>353</v>
      </c>
      <c r="B37" s="215" t="s">
        <v>1529</v>
      </c>
      <c r="C37" s="249">
        <f ca="1">ROUND(E37*D37*F34/10000,0)</f>
        <v>346</v>
      </c>
      <c r="D37" s="217">
        <f ca="1">D19</f>
        <v>17280.400000000001</v>
      </c>
      <c r="E37" s="249">
        <f>'数据-取费表'!B35</f>
        <v>200</v>
      </c>
      <c r="F37" s="259"/>
      <c r="G37" s="261" t="s">
        <v>1530</v>
      </c>
    </row>
    <row r="38" spans="1:7" ht="13.5" customHeight="1">
      <c r="A38" s="780" t="s">
        <v>354</v>
      </c>
      <c r="B38" s="215" t="s">
        <v>1531</v>
      </c>
      <c r="C38" s="220">
        <f ca="1">ROUND(C34*F38,0)</f>
        <v>173</v>
      </c>
      <c r="D38" s="220"/>
      <c r="E38" s="220"/>
      <c r="F38" s="259">
        <f>'数据-取费表'!B36</f>
        <v>0.02</v>
      </c>
      <c r="G38" s="219" t="s">
        <v>1526</v>
      </c>
    </row>
    <row r="39" spans="1:7" s="214" customFormat="1" ht="13.5" customHeight="1">
      <c r="A39" s="255" t="s">
        <v>1489</v>
      </c>
      <c r="B39" s="210" t="s">
        <v>1492</v>
      </c>
      <c r="C39" s="232">
        <f ca="1">ROUND(C33*F20,0)</f>
        <v>192</v>
      </c>
      <c r="D39" s="232"/>
      <c r="E39" s="232"/>
      <c r="F39" s="233">
        <f>F20</f>
        <v>0.02</v>
      </c>
      <c r="G39" s="234" t="s">
        <v>1534</v>
      </c>
    </row>
    <row r="40" spans="1:7" s="214" customFormat="1" ht="13.5" customHeight="1">
      <c r="A40" s="255" t="s">
        <v>1491</v>
      </c>
      <c r="B40" s="210" t="s">
        <v>1495</v>
      </c>
      <c r="C40" s="1327">
        <f>F21</f>
        <v>0.02</v>
      </c>
      <c r="D40" s="236" t="s">
        <v>1537</v>
      </c>
      <c r="E40" s="232"/>
      <c r="F40" s="233">
        <f>F21</f>
        <v>0.02</v>
      </c>
      <c r="G40" s="234" t="s">
        <v>1538</v>
      </c>
    </row>
    <row r="41" spans="1:7" s="214" customFormat="1" ht="13.5" customHeight="1">
      <c r="A41" s="255" t="s">
        <v>1494</v>
      </c>
      <c r="B41" s="210" t="s">
        <v>1499</v>
      </c>
      <c r="C41" s="232">
        <f ca="1">ROUND(SUM(C42:C43),0)</f>
        <v>338</v>
      </c>
      <c r="D41" s="235">
        <f ca="1">C44</f>
        <v>6.9999999999999999E-4</v>
      </c>
      <c r="E41" s="236" t="s">
        <v>1537</v>
      </c>
      <c r="F41" s="237">
        <f ca="1">F22</f>
        <v>3.4500000000000003E-2</v>
      </c>
      <c r="G41" s="234" t="str">
        <f>IF('数据-取费表'!B22&lt;=1,"单利计息","复利计息")</f>
        <v>复利计息</v>
      </c>
    </row>
    <row r="42" spans="1:7" ht="13.5" customHeight="1">
      <c r="A42" s="780" t="s">
        <v>346</v>
      </c>
      <c r="B42" s="215" t="s">
        <v>1501</v>
      </c>
      <c r="C42" s="238">
        <f ca="1">ROUND(IF('数据-取费表'!B22&lt;=1,C33*F22*'数据-取费表'!B21/2,C33*(POWER((1+F22),'数据-取费表'!B21/2)-1)),0)</f>
        <v>331</v>
      </c>
      <c r="D42" s="238"/>
      <c r="E42" s="238"/>
      <c r="F42" s="239"/>
      <c r="G42" s="3850" t="s">
        <v>1542</v>
      </c>
    </row>
    <row r="43" spans="1:7" ht="13.5" customHeight="1">
      <c r="A43" s="780" t="s">
        <v>347</v>
      </c>
      <c r="B43" s="215" t="s">
        <v>1504</v>
      </c>
      <c r="C43" s="238">
        <f ca="1">ROUND(IF('数据-取费表'!B22&lt;=1,C39*F22*'数据-取费表'!B21/2,C39*(POWER((1+F22),'数据-取费表'!B21/2)-1)),0)</f>
        <v>7</v>
      </c>
      <c r="D43" s="238"/>
      <c r="E43" s="238"/>
      <c r="F43" s="239"/>
      <c r="G43" s="3851"/>
    </row>
    <row r="44" spans="1:7" ht="13.5" customHeight="1">
      <c r="A44" s="780" t="s">
        <v>348</v>
      </c>
      <c r="B44" s="215" t="s">
        <v>1507</v>
      </c>
      <c r="C44" s="238">
        <f ca="1">ROUND(IF('数据-取费表'!B22&lt;=1,C40*F22*'数据-取费表'!B21/2,C40*(POWER((1+F22),'数据-取费表'!B21/2)-1)),4)</f>
        <v>6.9999999999999999E-4</v>
      </c>
      <c r="D44" s="238"/>
      <c r="E44" s="238"/>
      <c r="F44" s="239"/>
      <c r="G44" s="3852"/>
    </row>
    <row r="45" spans="1:7" s="214" customFormat="1" ht="13.5" customHeight="1">
      <c r="A45" s="255" t="s">
        <v>1498</v>
      </c>
      <c r="B45" s="244" t="s">
        <v>1511</v>
      </c>
      <c r="C45" s="245">
        <f ca="1">C46</f>
        <v>1467</v>
      </c>
      <c r="D45" s="235">
        <f ca="1">C47</f>
        <v>3.0000000000000001E-3</v>
      </c>
      <c r="E45" s="236" t="s">
        <v>1537</v>
      </c>
      <c r="F45" s="246">
        <f ca="1">F27</f>
        <v>0.15</v>
      </c>
      <c r="G45" s="247" t="s">
        <v>1546</v>
      </c>
    </row>
    <row r="46" spans="1:7" s="214" customFormat="1" ht="13.5" customHeight="1">
      <c r="A46" s="780" t="s">
        <v>346</v>
      </c>
      <c r="B46" s="248" t="s">
        <v>1547</v>
      </c>
      <c r="C46" s="249">
        <f ca="1">ROUND((C33+C39)*F27,0)</f>
        <v>1467</v>
      </c>
      <c r="D46" s="263"/>
      <c r="E46" s="236"/>
      <c r="F46" s="246"/>
      <c r="G46" s="247"/>
    </row>
    <row r="47" spans="1:7" s="214" customFormat="1" ht="13.5" customHeight="1">
      <c r="A47" s="780" t="s">
        <v>347</v>
      </c>
      <c r="B47" s="248" t="s">
        <v>1548</v>
      </c>
      <c r="C47" s="238">
        <f ca="1">ROUND(C40*F27,4)</f>
        <v>3.0000000000000001E-3</v>
      </c>
      <c r="D47" s="263"/>
      <c r="E47" s="236"/>
      <c r="F47" s="246"/>
      <c r="G47" s="247"/>
    </row>
    <row r="48" spans="1:7" s="214" customFormat="1" ht="13.5" customHeight="1">
      <c r="A48" s="255" t="s">
        <v>1510</v>
      </c>
      <c r="B48" s="210" t="s">
        <v>1549</v>
      </c>
      <c r="C48" s="1327">
        <f>ROUND(F30/(1+'数据-取费表'!C42),4)</f>
        <v>5.33E-2</v>
      </c>
      <c r="D48" s="236" t="s">
        <v>1537</v>
      </c>
      <c r="E48" s="232"/>
      <c r="F48" s="237">
        <f>F30</f>
        <v>5.6000000000000001E-2</v>
      </c>
      <c r="G48" s="234" t="s">
        <v>1550</v>
      </c>
    </row>
    <row r="49" spans="1:7" ht="16.5" customHeight="1">
      <c r="A49" s="255" t="s">
        <v>1516</v>
      </c>
      <c r="B49" s="210" t="s">
        <v>1551</v>
      </c>
      <c r="C49" s="232">
        <f ca="1">ROUND((C33+C39+C41+C45)/(1-C40-D41-D45-C48),0)</f>
        <v>12555</v>
      </c>
      <c r="D49" s="232"/>
      <c r="E49" s="232"/>
      <c r="F49" s="264"/>
      <c r="G49" s="234" t="s">
        <v>1552</v>
      </c>
    </row>
    <row r="50" spans="1:7" s="258" customFormat="1" ht="24">
      <c r="A50" s="255" t="s">
        <v>1553</v>
      </c>
      <c r="B50" s="210" t="s">
        <v>1554</v>
      </c>
      <c r="C50" s="232"/>
      <c r="D50" s="232"/>
      <c r="E50" s="232"/>
      <c r="F50" s="264">
        <f>IF('数据-取费表'!B24=0,'数据-取费表'!N16,1)</f>
        <v>0.65</v>
      </c>
      <c r="G50" s="247" t="s">
        <v>1555</v>
      </c>
    </row>
    <row r="51" spans="1:7" ht="16.5" customHeight="1">
      <c r="A51" s="255" t="s">
        <v>1556</v>
      </c>
      <c r="B51" s="210" t="s">
        <v>1557</v>
      </c>
      <c r="C51" s="232">
        <f ca="1">ROUND(C49*F50,0)</f>
        <v>8161</v>
      </c>
      <c r="D51" s="232"/>
      <c r="E51" s="232"/>
      <c r="F51" s="264"/>
      <c r="G51" s="234" t="s">
        <v>1558</v>
      </c>
    </row>
    <row r="52" spans="1:7" s="208" customFormat="1" ht="16.5" thickBot="1">
      <c r="A52" s="265" t="s">
        <v>1559</v>
      </c>
      <c r="B52" s="266"/>
      <c r="C52" s="267">
        <f ca="1">C31+C51</f>
        <v>99168</v>
      </c>
      <c r="D52" s="266"/>
      <c r="E52" s="266"/>
      <c r="F52" s="266"/>
      <c r="G52" s="268"/>
    </row>
    <row r="55" spans="1:7" ht="15">
      <c r="B55" s="270" t="s">
        <v>1560</v>
      </c>
      <c r="C55" s="271"/>
    </row>
    <row r="56" spans="1:7">
      <c r="B56" s="273" t="s">
        <v>800</v>
      </c>
      <c r="C56" s="275">
        <f ca="1">1-C57</f>
        <v>0.91800000000000004</v>
      </c>
    </row>
    <row r="57" spans="1:7">
      <c r="B57" s="273" t="s">
        <v>801</v>
      </c>
      <c r="C57" s="274">
        <f ca="1">ROUND(C51/C52,3)</f>
        <v>8.2000000000000003E-2</v>
      </c>
    </row>
  </sheetData>
  <sheetProtection password="CEE9" sheet="1" objects="1" scenarios="1" formatCells="0"/>
  <mergeCells count="1">
    <mergeCell ref="G42:G44"/>
  </mergeCells>
  <phoneticPr fontId="134"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L59" sqref="L5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875</v>
      </c>
      <c r="B1" s="713"/>
      <c r="C1" s="1379" t="s">
        <v>3645</v>
      </c>
      <c r="D1" s="1362" t="s">
        <v>43</v>
      </c>
      <c r="E1" s="1363" t="s">
        <v>676</v>
      </c>
      <c r="F1" s="1062">
        <f ca="1">J53</f>
        <v>31</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802</v>
      </c>
      <c r="B2" s="1386">
        <f ca="1">C40+J29+L46</f>
        <v>63991</v>
      </c>
      <c r="C2" s="1387" t="s">
        <v>803</v>
      </c>
      <c r="D2" s="1387"/>
      <c r="E2" s="1388"/>
      <c r="F2" s="1389"/>
      <c r="G2" s="2706"/>
      <c r="H2" s="2695"/>
      <c r="I2" s="2695"/>
      <c r="J2" s="2695"/>
      <c r="K2" s="2696"/>
      <c r="L2" s="2695"/>
      <c r="M2" s="2695"/>
    </row>
    <row r="3" spans="1:37" ht="18" customHeight="1" thickBot="1">
      <c r="A3" s="1390" t="s">
        <v>804</v>
      </c>
      <c r="B3" s="1391">
        <f ca="1">IF(ISERROR(B2*10000/F43),0,ROUND(B2*10000/F43,0))</f>
        <v>37031</v>
      </c>
      <c r="C3" s="1387" t="s">
        <v>805</v>
      </c>
      <c r="D3" s="1387"/>
      <c r="E3" s="1388"/>
      <c r="F3" s="1389"/>
      <c r="G3" s="2706"/>
      <c r="H3" s="683" t="s">
        <v>874</v>
      </c>
      <c r="I3" s="1382"/>
      <c r="J3" s="1382"/>
      <c r="K3" s="1383"/>
      <c r="L3" s="1382"/>
      <c r="M3" s="1382"/>
    </row>
    <row r="4" spans="1:37" ht="18" customHeight="1">
      <c r="A4" s="295" t="s">
        <v>685</v>
      </c>
      <c r="B4" s="296" t="s">
        <v>686</v>
      </c>
      <c r="C4" s="296" t="s">
        <v>687</v>
      </c>
      <c r="D4" s="296" t="s">
        <v>688</v>
      </c>
      <c r="E4" s="297" t="s">
        <v>689</v>
      </c>
      <c r="F4" s="298"/>
      <c r="G4" s="1384"/>
      <c r="H4" s="295" t="s">
        <v>685</v>
      </c>
      <c r="I4" s="296" t="s">
        <v>686</v>
      </c>
      <c r="J4" s="296" t="s">
        <v>687</v>
      </c>
      <c r="K4" s="296" t="s">
        <v>688</v>
      </c>
      <c r="L4" s="297" t="s">
        <v>689</v>
      </c>
      <c r="M4" s="298"/>
    </row>
    <row r="5" spans="1:37" ht="18" customHeight="1">
      <c r="A5" s="299">
        <v>1</v>
      </c>
      <c r="B5" s="300" t="s">
        <v>690</v>
      </c>
      <c r="C5" s="1070">
        <f ca="1">C6+C10+C12</f>
        <v>3979</v>
      </c>
      <c r="D5" s="1364" t="s">
        <v>691</v>
      </c>
      <c r="E5" s="1071"/>
      <c r="F5" s="1072"/>
      <c r="G5" s="1384"/>
      <c r="H5" s="299">
        <v>1</v>
      </c>
      <c r="I5" s="300" t="s">
        <v>690</v>
      </c>
      <c r="J5" s="1070">
        <f ca="1">J6+J10+J12</f>
        <v>0</v>
      </c>
      <c r="K5" s="1364" t="s">
        <v>691</v>
      </c>
      <c r="L5" s="1071"/>
      <c r="M5" s="1072"/>
    </row>
    <row r="6" spans="1:37" ht="18" customHeight="1">
      <c r="A6" s="1069" t="s">
        <v>398</v>
      </c>
      <c r="B6" s="3874" t="s">
        <v>692</v>
      </c>
      <c r="C6" s="1074">
        <f ca="1">ROUND(F6*F8*F7*(1-F9)/10000,0)</f>
        <v>3974</v>
      </c>
      <c r="D6" s="155" t="s">
        <v>2106</v>
      </c>
      <c r="E6" s="302" t="s">
        <v>694</v>
      </c>
      <c r="F6" s="303">
        <f ca="1">INDIRECT("'数据-取费表'!u"&amp;$G$1)</f>
        <v>7</v>
      </c>
      <c r="G6" s="1384"/>
      <c r="H6" s="1069" t="s">
        <v>398</v>
      </c>
      <c r="I6" s="3874" t="s">
        <v>692</v>
      </c>
      <c r="J6" s="301">
        <f ca="1">ROUND(M6*M8*M7*(1-M9)/10000,0)</f>
        <v>0</v>
      </c>
      <c r="K6" s="155" t="s">
        <v>2105</v>
      </c>
      <c r="L6" s="302" t="s">
        <v>694</v>
      </c>
      <c r="M6" s="303">
        <f ca="1">INDIRECT("'数据-取费表'!z"&amp;$G$1)</f>
        <v>0</v>
      </c>
    </row>
    <row r="7" spans="1:37" ht="18" customHeight="1">
      <c r="A7" s="1073"/>
      <c r="B7" s="3875"/>
      <c r="C7" s="1075"/>
      <c r="D7" s="307"/>
      <c r="E7" s="3553" t="s">
        <v>695</v>
      </c>
      <c r="F7" s="303">
        <f ca="1">IF(INDIRECT("'数据-取费表'!ah"&amp;$G$1)="",INDIRECT("'数据-取费表'!k"&amp;$G$1),INDIRECT("'数据-取费表'!ah"&amp;$G$1))</f>
        <v>17280.400000000001</v>
      </c>
      <c r="G7" s="1384"/>
      <c r="H7" s="304"/>
      <c r="I7" s="3875"/>
      <c r="J7" s="306"/>
      <c r="K7" s="307"/>
      <c r="L7" s="302" t="s">
        <v>695</v>
      </c>
      <c r="M7" s="303">
        <f ca="1">F7</f>
        <v>17280.400000000001</v>
      </c>
    </row>
    <row r="8" spans="1:37" ht="18" customHeight="1">
      <c r="A8" s="304"/>
      <c r="B8" s="3875"/>
      <c r="C8" s="306"/>
      <c r="D8" s="307"/>
      <c r="E8" s="302" t="s">
        <v>696</v>
      </c>
      <c r="F8" s="303">
        <f ca="1">INDIRECT("'数据-取费表'!ai"&amp;$G$1)</f>
        <v>365</v>
      </c>
      <c r="G8" s="1384"/>
      <c r="H8" s="304"/>
      <c r="I8" s="3875"/>
      <c r="J8" s="306"/>
      <c r="K8" s="307"/>
      <c r="L8" s="302" t="s">
        <v>696</v>
      </c>
      <c r="M8" s="303">
        <f ca="1">INDIRECT("'数据-取费表'!ai"&amp;$G$1)</f>
        <v>365</v>
      </c>
    </row>
    <row r="9" spans="1:37" ht="18" customHeight="1">
      <c r="A9" s="304"/>
      <c r="B9" s="3876"/>
      <c r="C9" s="306"/>
      <c r="D9" s="307"/>
      <c r="E9" s="302" t="s">
        <v>697</v>
      </c>
      <c r="F9" s="312">
        <f ca="1">INDIRECT("'数据-取费表'!w"&amp;$G$1)</f>
        <v>0.1</v>
      </c>
      <c r="G9" s="1384"/>
      <c r="H9" s="304"/>
      <c r="I9" s="3876"/>
      <c r="J9" s="306"/>
      <c r="K9" s="307"/>
      <c r="L9" s="313" t="s">
        <v>697</v>
      </c>
      <c r="M9" s="314">
        <f ca="1">INDIRECT("'数据-取费表'!ab"&amp;$G$1)</f>
        <v>0</v>
      </c>
    </row>
    <row r="10" spans="1:37" ht="18" customHeight="1">
      <c r="A10" s="1069" t="s">
        <v>402</v>
      </c>
      <c r="B10" s="1365" t="s">
        <v>698</v>
      </c>
      <c r="C10" s="316">
        <f ca="1">ROUND(IF(F10="押一",C6/12*F11,IF(F10="押二",C6/12*2*F11,IF(F10="押三",C6/12*3*F11,C11*F11))),0)</f>
        <v>5</v>
      </c>
      <c r="D10" s="1366" t="s">
        <v>2113</v>
      </c>
      <c r="E10" s="313" t="s">
        <v>699</v>
      </c>
      <c r="F10" s="1116" t="s">
        <v>3544</v>
      </c>
      <c r="G10" s="1384"/>
      <c r="H10" s="1069" t="s">
        <v>402</v>
      </c>
      <c r="I10" s="1365" t="s">
        <v>698</v>
      </c>
      <c r="J10" s="301">
        <f ca="1">ROUND(IF(M10="押一",J6/12*M11,IF(M10="押二",J6/12*2*M11,IF(M10="押三",J6/12*3*M11,J11*M11))),0)</f>
        <v>0</v>
      </c>
      <c r="K10" s="1366" t="s">
        <v>2113</v>
      </c>
      <c r="L10" s="313" t="s">
        <v>699</v>
      </c>
      <c r="M10" s="1116"/>
    </row>
    <row r="11" spans="1:37" ht="18" customHeight="1">
      <c r="A11" s="308"/>
      <c r="B11" s="1367" t="s">
        <v>677</v>
      </c>
      <c r="C11" s="959"/>
      <c r="D11" s="1368"/>
      <c r="E11" s="313" t="s">
        <v>700</v>
      </c>
      <c r="F11" s="314">
        <f ca="1">'数据-取费表'!B39</f>
        <v>1.4999999999999999E-2</v>
      </c>
      <c r="G11" s="1384"/>
      <c r="H11" s="1077"/>
      <c r="I11" s="1367" t="s">
        <v>677</v>
      </c>
      <c r="J11" s="959"/>
      <c r="K11" s="684"/>
      <c r="L11" s="313" t="s">
        <v>700</v>
      </c>
      <c r="M11" s="862">
        <f ca="1">'数据-取费表'!B39</f>
        <v>1.4999999999999999E-2</v>
      </c>
    </row>
    <row r="12" spans="1:37" ht="18" customHeight="1" thickBot="1">
      <c r="A12" s="1083" t="s">
        <v>437</v>
      </c>
      <c r="B12" s="1369" t="s">
        <v>701</v>
      </c>
      <c r="C12" s="1084"/>
      <c r="D12" s="1085"/>
      <c r="E12" s="1090"/>
      <c r="F12" s="1086"/>
      <c r="G12" s="1384"/>
      <c r="H12" s="1083" t="s">
        <v>437</v>
      </c>
      <c r="I12" s="1369" t="s">
        <v>701</v>
      </c>
      <c r="J12" s="1084"/>
      <c r="K12" s="1098"/>
      <c r="L12" s="1090"/>
      <c r="M12" s="1099"/>
    </row>
    <row r="13" spans="1:37" ht="18" customHeight="1" thickTop="1">
      <c r="A13" s="1079">
        <v>2</v>
      </c>
      <c r="B13" s="1080" t="s">
        <v>702</v>
      </c>
      <c r="C13" s="310">
        <f ca="1">ROUND(C29*F13,0)</f>
        <v>8161</v>
      </c>
      <c r="D13" s="3547" t="s">
        <v>703</v>
      </c>
      <c r="E13" s="3547" t="s">
        <v>704</v>
      </c>
      <c r="F13" s="1082">
        <f ca="1">INDIRECT("'数据-取费表'!y"&amp;$G$1)</f>
        <v>0.65</v>
      </c>
      <c r="G13" s="1384"/>
      <c r="H13" s="1079">
        <v>2</v>
      </c>
      <c r="I13" s="1080" t="s">
        <v>702</v>
      </c>
      <c r="J13" s="1068">
        <f ca="1">ROUND(J14*J15,0)</f>
        <v>0</v>
      </c>
      <c r="K13" s="1087" t="s">
        <v>703</v>
      </c>
      <c r="L13" s="1392"/>
      <c r="M13" s="1393"/>
    </row>
    <row r="14" spans="1:37" ht="18" customHeight="1">
      <c r="A14" s="982" t="s">
        <v>397</v>
      </c>
      <c r="B14" s="302" t="s">
        <v>705</v>
      </c>
      <c r="C14" s="318">
        <f ca="1">INDIRECT("'数据-取费表'!m"&amp;$G$1)+INDIRECT("'数据-取费表'!t"&amp;$G$1)</f>
        <v>8640</v>
      </c>
      <c r="D14" s="3564" t="s">
        <v>706</v>
      </c>
      <c r="E14" s="3563"/>
      <c r="F14" s="319"/>
      <c r="G14" s="1384"/>
      <c r="H14" s="982" t="s">
        <v>398</v>
      </c>
      <c r="I14" s="302" t="s">
        <v>707</v>
      </c>
      <c r="J14" s="21">
        <f ca="1">C29</f>
        <v>12555</v>
      </c>
      <c r="K14" s="3551"/>
      <c r="L14" s="807"/>
      <c r="M14" s="808"/>
    </row>
    <row r="15" spans="1:37" s="1397" customFormat="1" ht="18" customHeight="1" thickBot="1">
      <c r="A15" s="982" t="s">
        <v>399</v>
      </c>
      <c r="B15" s="302" t="s">
        <v>708</v>
      </c>
      <c r="C15" s="21">
        <f ca="1">ROUND(C14*F15,0)</f>
        <v>432</v>
      </c>
      <c r="D15" s="3548" t="s">
        <v>709</v>
      </c>
      <c r="E15" s="3548" t="s">
        <v>710</v>
      </c>
      <c r="F15" s="321">
        <f>'数据-取费表'!B33</f>
        <v>0.05</v>
      </c>
      <c r="G15" s="1396"/>
      <c r="H15" s="1089" t="s">
        <v>402</v>
      </c>
      <c r="I15" s="1090" t="s">
        <v>704</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678</v>
      </c>
      <c r="B16" s="302" t="s">
        <v>711</v>
      </c>
      <c r="C16" s="21">
        <f ca="1">ROUND(INDIRECT("'数据-取费表'!m"&amp;$G$1)*F16,0)</f>
        <v>0</v>
      </c>
      <c r="D16" s="302" t="s">
        <v>709</v>
      </c>
      <c r="E16" s="302" t="s">
        <v>710</v>
      </c>
      <c r="F16" s="322">
        <f ca="1">IF(INDIRECT("'数据-取费表'!c"&amp;$G$1)="住宅",'数据-取费表'!B34,0)</f>
        <v>0</v>
      </c>
      <c r="G16" s="1384"/>
      <c r="H16" s="1079" t="s">
        <v>393</v>
      </c>
      <c r="I16" s="1080" t="s">
        <v>712</v>
      </c>
      <c r="J16" s="310">
        <f ca="1">ROUND(J17+J22+J23+J24,0)</f>
        <v>63</v>
      </c>
      <c r="K16" s="1087" t="s">
        <v>713</v>
      </c>
      <c r="L16" s="3568"/>
      <c r="M16" s="1072"/>
    </row>
    <row r="17" spans="1:37" s="1397" customFormat="1" ht="18" customHeight="1">
      <c r="A17" s="982" t="s">
        <v>679</v>
      </c>
      <c r="B17" s="302" t="s">
        <v>714</v>
      </c>
      <c r="C17" s="21">
        <f ca="1">ROUND(F17*(F43+INDIRECT("'数据-取费表'!S"&amp;$G$1))/10000,0)</f>
        <v>346</v>
      </c>
      <c r="D17" s="302" t="s">
        <v>715</v>
      </c>
      <c r="E17" s="302" t="s">
        <v>716</v>
      </c>
      <c r="F17" s="23">
        <f>'数据-取费表'!B35</f>
        <v>200</v>
      </c>
      <c r="G17" s="1396"/>
      <c r="H17" s="982" t="s">
        <v>398</v>
      </c>
      <c r="I17" s="302" t="s">
        <v>717</v>
      </c>
      <c r="J17" s="2316">
        <f ca="1">ROUND(IF(AND(项目基本情况!B11="自然人",项目基本情况!B10="北京市"),J6*M17/(1+'数据-取费表'!C42),J18+J19+J20),2)</f>
        <v>0</v>
      </c>
      <c r="K17" s="3564" t="s">
        <v>718</v>
      </c>
      <c r="L17" s="3567" t="s">
        <v>719</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680</v>
      </c>
      <c r="B18" s="302" t="s">
        <v>720</v>
      </c>
      <c r="C18" s="21">
        <f ca="1">ROUND(C14*F18,0)</f>
        <v>173</v>
      </c>
      <c r="D18" s="302" t="s">
        <v>709</v>
      </c>
      <c r="E18" s="302" t="s">
        <v>710</v>
      </c>
      <c r="F18" s="322">
        <f>'数据-取费表'!B36</f>
        <v>0.02</v>
      </c>
      <c r="G18" s="1396"/>
      <c r="H18" s="982" t="s">
        <v>397</v>
      </c>
      <c r="I18" s="302" t="s">
        <v>721</v>
      </c>
      <c r="J18" s="21">
        <f ca="1">ROUND(J6*M18/(1+'数据-取费表'!C42),2)</f>
        <v>0</v>
      </c>
      <c r="K18" s="3567" t="s">
        <v>722</v>
      </c>
      <c r="L18" s="302" t="s">
        <v>710</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723</v>
      </c>
      <c r="C19" s="21">
        <f ca="1">SUM(C14:C18)</f>
        <v>9591</v>
      </c>
      <c r="D19" s="131" t="s">
        <v>724</v>
      </c>
      <c r="E19" s="3578"/>
      <c r="F19" s="23"/>
      <c r="G19" s="1384"/>
      <c r="H19" s="982" t="s">
        <v>399</v>
      </c>
      <c r="I19" s="302" t="s">
        <v>725</v>
      </c>
      <c r="J19" s="21">
        <f ca="1">IF(K19="按租金收入计税",ROUND(J6*M19/(1+'数据-取费表'!C42),2),ROUND(C29*M19*0.7,2))</f>
        <v>0</v>
      </c>
      <c r="K19" s="1370" t="s">
        <v>3337</v>
      </c>
      <c r="L19" s="302" t="s">
        <v>710</v>
      </c>
      <c r="M19" s="322">
        <f>IF(K19="按租金收入计税",'数据-取费表'!B51,'数据-取费表'!B50)</f>
        <v>0.12</v>
      </c>
    </row>
    <row r="20" spans="1:37" s="1397" customFormat="1" ht="18" customHeight="1">
      <c r="A20" s="982" t="s">
        <v>402</v>
      </c>
      <c r="B20" s="302" t="s">
        <v>726</v>
      </c>
      <c r="C20" s="21">
        <f ca="1">ROUND(C19*F20,0)</f>
        <v>192</v>
      </c>
      <c r="D20" s="2428" t="s">
        <v>727</v>
      </c>
      <c r="E20" s="302" t="s">
        <v>710</v>
      </c>
      <c r="F20" s="322">
        <f>'数据-取费表'!B37</f>
        <v>0.02</v>
      </c>
      <c r="G20" s="1396"/>
      <c r="H20" s="982" t="s">
        <v>678</v>
      </c>
      <c r="I20" s="155" t="s">
        <v>728</v>
      </c>
      <c r="J20" s="22">
        <f ca="1">ROUND(M20*M21/10000,2)</f>
        <v>0</v>
      </c>
      <c r="K20" s="324" t="s">
        <v>729</v>
      </c>
      <c r="L20" s="302" t="s">
        <v>730</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731</v>
      </c>
      <c r="C21" s="21" t="s">
        <v>0</v>
      </c>
      <c r="D21" s="2428" t="s">
        <v>732</v>
      </c>
      <c r="E21" s="302" t="s">
        <v>733</v>
      </c>
      <c r="F21" s="322">
        <f>'数据-取费表'!B38</f>
        <v>0.02</v>
      </c>
      <c r="G21" s="1396"/>
      <c r="H21" s="326"/>
      <c r="I21" s="311"/>
      <c r="J21" s="26"/>
      <c r="K21" s="327"/>
      <c r="L21" s="302" t="s">
        <v>734</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681</v>
      </c>
      <c r="B22" s="302" t="s">
        <v>735</v>
      </c>
      <c r="C22" s="21"/>
      <c r="D22" s="131" t="str">
        <f>IF(F23&lt;=1,"单利计息。","复利计息。")&amp;"建造成本、管理费用、销售费用产生的利息。"</f>
        <v>复利计息。建造成本、管理费用、销售费用产生的利息。</v>
      </c>
      <c r="E22" s="3578"/>
      <c r="F22" s="23"/>
      <c r="G22" s="1384"/>
      <c r="H22" s="982" t="s">
        <v>402</v>
      </c>
      <c r="I22" s="302" t="s">
        <v>736</v>
      </c>
      <c r="J22" s="21">
        <f ca="1">ROUND(J14*M22,2)</f>
        <v>62.78</v>
      </c>
      <c r="K22" s="3567" t="s">
        <v>737</v>
      </c>
      <c r="L22" s="302" t="s">
        <v>710</v>
      </c>
      <c r="M22" s="328">
        <f ca="1">INDIRECT("'数据-取费表'!Ak"&amp;$G$1)</f>
        <v>5.0000000000000001E-3</v>
      </c>
    </row>
    <row r="23" spans="1:37" s="1397" customFormat="1" ht="18" customHeight="1">
      <c r="A23" s="982" t="s">
        <v>397</v>
      </c>
      <c r="B23" s="302" t="s">
        <v>738</v>
      </c>
      <c r="C23" s="21">
        <f ca="1">IF('数据-取费表'!B22&lt;=1,ROUND(C19*F24*F23/2,0)+ROUND(C20*F24*F23/2,0),ROUND(C19*(POWER((1+F24),F23/2)-1),0)+ROUND(C20*(POWER((1+F24),F23/2)-1),0))</f>
        <v>338</v>
      </c>
      <c r="D23" s="329" t="str">
        <f>IF(F23&lt;=1,"(建造成本+管理费用)×利率×(建设周期÷2)","(建造成本+管理费用)×((1+利率)^(建设周期÷2)-1)")</f>
        <v>(建造成本+管理费用)×((1+利率)^(建设周期÷2)-1)</v>
      </c>
      <c r="E23" s="302" t="s">
        <v>739</v>
      </c>
      <c r="F23" s="325">
        <f>'数据-取费表'!B20</f>
        <v>2</v>
      </c>
      <c r="G23" s="1396"/>
      <c r="H23" s="982" t="s">
        <v>437</v>
      </c>
      <c r="I23" s="302" t="s">
        <v>740</v>
      </c>
      <c r="J23" s="21">
        <f ca="1">ROUND(J13*M23,2)</f>
        <v>0</v>
      </c>
      <c r="K23" s="3567" t="s">
        <v>741</v>
      </c>
      <c r="L23" s="302" t="s">
        <v>710</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399</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3.4500000000000003E-2</v>
      </c>
      <c r="G24" s="1396"/>
      <c r="H24" s="1089" t="s">
        <v>681</v>
      </c>
      <c r="I24" s="1090" t="s">
        <v>726</v>
      </c>
      <c r="J24" s="1091">
        <f ca="1">ROUND(J5*M24,2)</f>
        <v>0</v>
      </c>
      <c r="K24" s="1092" t="s">
        <v>746</v>
      </c>
      <c r="L24" s="1090" t="s">
        <v>710</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747</v>
      </c>
      <c r="B25" s="302" t="s">
        <v>748</v>
      </c>
      <c r="C25" s="21"/>
      <c r="D25" s="131" t="s">
        <v>749</v>
      </c>
      <c r="E25" s="3578"/>
      <c r="F25" s="23"/>
      <c r="G25" s="1384"/>
      <c r="H25" s="1079" t="s">
        <v>394</v>
      </c>
      <c r="I25" s="1094" t="s">
        <v>750</v>
      </c>
      <c r="J25" s="310">
        <f ca="1">J5-J16</f>
        <v>-63</v>
      </c>
      <c r="K25" s="1095" t="s">
        <v>751</v>
      </c>
      <c r="L25" s="1096"/>
      <c r="M25" s="1097"/>
    </row>
    <row r="26" spans="1:37">
      <c r="A26" s="982" t="s">
        <v>397</v>
      </c>
      <c r="B26" s="302" t="s">
        <v>752</v>
      </c>
      <c r="C26" s="21">
        <f ca="1">ROUND((C19+C20)*F26,0)</f>
        <v>1467</v>
      </c>
      <c r="D26" s="2428" t="s">
        <v>753</v>
      </c>
      <c r="E26" s="313" t="s">
        <v>754</v>
      </c>
      <c r="F26" s="312">
        <f ca="1">INDIRECT("'数据-取费表'!q"&amp;$G$1)</f>
        <v>0.15</v>
      </c>
      <c r="G26" s="1384"/>
      <c r="H26" s="299" t="s">
        <v>395</v>
      </c>
      <c r="I26" s="300" t="s">
        <v>755</v>
      </c>
      <c r="J26" s="301">
        <f ca="1">IF(J5&lt;&gt;0,ROUND(J25*(1-((1+M28)/(1+M26))^M27)/(M26-M28),0),0)</f>
        <v>0</v>
      </c>
      <c r="K26" s="324" t="s">
        <v>756</v>
      </c>
      <c r="L26" s="302" t="s">
        <v>757</v>
      </c>
      <c r="M26" s="312">
        <f ca="1">INDIRECT("'数据-取费表'!I"&amp;$G$1)</f>
        <v>5.5E-2</v>
      </c>
    </row>
    <row r="27" spans="1:37" ht="18" customHeight="1">
      <c r="A27" s="982" t="s">
        <v>399</v>
      </c>
      <c r="B27" s="302" t="s">
        <v>758</v>
      </c>
      <c r="C27" s="21">
        <f ca="1">ROUND(F21*F26,4)</f>
        <v>3.0000000000000001E-3</v>
      </c>
      <c r="D27" s="2428" t="s">
        <v>759</v>
      </c>
      <c r="E27" s="3548"/>
      <c r="F27" s="321"/>
      <c r="G27" s="1384"/>
      <c r="H27" s="304"/>
      <c r="I27" s="305"/>
      <c r="J27" s="306"/>
      <c r="K27" s="332" t="s">
        <v>760</v>
      </c>
      <c r="L27" s="302" t="s">
        <v>761</v>
      </c>
      <c r="M27" s="333">
        <f ca="1">INDIRECT("'数据-取费表'!ag"&amp;$G$1)</f>
        <v>0</v>
      </c>
    </row>
    <row r="28" spans="1:37" s="1397" customFormat="1" ht="18" customHeight="1">
      <c r="A28" s="982" t="s">
        <v>400</v>
      </c>
      <c r="B28" s="302" t="s">
        <v>762</v>
      </c>
      <c r="C28" s="21">
        <f>ROUND(F28/(1+'数据-取费表'!C42),4)</f>
        <v>5.33E-2</v>
      </c>
      <c r="D28" s="2428" t="s">
        <v>763</v>
      </c>
      <c r="E28" s="302" t="s">
        <v>710</v>
      </c>
      <c r="F28" s="322">
        <f>'数据-取费表'!B41</f>
        <v>5.6000000000000001E-2</v>
      </c>
      <c r="G28" s="1396"/>
      <c r="H28" s="308"/>
      <c r="I28" s="309"/>
      <c r="J28" s="310"/>
      <c r="K28" s="327"/>
      <c r="L28" s="302" t="s">
        <v>764</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765</v>
      </c>
      <c r="C29" s="1091">
        <f ca="1">ROUND((C19+C20+C23+C26)/(1-F21-C24-C27-C28),0)</f>
        <v>12555</v>
      </c>
      <c r="D29" s="1092"/>
      <c r="E29" s="1090"/>
      <c r="F29" s="1093"/>
      <c r="G29" s="1396"/>
      <c r="H29" s="334" t="s">
        <v>396</v>
      </c>
      <c r="I29" s="335" t="s">
        <v>766</v>
      </c>
      <c r="J29" s="336">
        <f ca="1">ROUND(J26/(1+F40)^F41,0)</f>
        <v>0</v>
      </c>
      <c r="K29" s="337" t="s">
        <v>767</v>
      </c>
      <c r="L29" s="338"/>
      <c r="M29" s="339">
        <f ca="1">INDIRECT("'数据-取费表'!k"&amp;$G$1)</f>
        <v>17280.400000000001</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712</v>
      </c>
      <c r="C30" s="310">
        <f ca="1">ROUND(C31+C36+C37+C38,0)</f>
        <v>777</v>
      </c>
      <c r="D30" s="1087" t="s">
        <v>713</v>
      </c>
      <c r="E30" s="3568"/>
      <c r="F30" s="1072"/>
      <c r="G30" s="1384"/>
      <c r="H30" s="2697"/>
      <c r="I30" s="1398"/>
      <c r="J30" s="1399"/>
      <c r="K30" s="2475"/>
      <c r="L30" s="2698"/>
      <c r="M30" s="2699"/>
    </row>
    <row r="31" spans="1:37" ht="18" customHeight="1">
      <c r="A31" s="982" t="s">
        <v>398</v>
      </c>
      <c r="B31" s="302" t="s">
        <v>717</v>
      </c>
      <c r="C31" s="2316">
        <f ca="1">ROUND(IF(AND(项目基本情况!B11="自然人",项目基本情况!B10="北京市"),C6*F31/(1+'数据-取费表'!C42),C32+C33+C34),2)</f>
        <v>666.12</v>
      </c>
      <c r="D31" s="3564" t="s">
        <v>718</v>
      </c>
      <c r="E31" s="3567" t="s">
        <v>768</v>
      </c>
      <c r="F31" s="2315" t="str">
        <f>IF(项目基本情况!B11="企业","——",IF(M47="住宅",IF(F6*F7*F8/12/(1+'数据-取费表'!F30)&gt;100000,4%,2.5%),IF(F6*F7*F8/12/(1+'数据-取费表'!F30)&gt;100000,12%,7%)))</f>
        <v>——</v>
      </c>
      <c r="G31" s="1384"/>
      <c r="H31" s="2808" t="s">
        <v>2307</v>
      </c>
      <c r="I31" s="1398"/>
      <c r="J31" s="1399"/>
      <c r="K31" s="2475"/>
      <c r="L31" s="2698"/>
      <c r="M31" s="2699"/>
    </row>
    <row r="32" spans="1:37" ht="18" customHeight="1">
      <c r="A32" s="982" t="s">
        <v>397</v>
      </c>
      <c r="B32" s="302" t="s">
        <v>721</v>
      </c>
      <c r="C32" s="21">
        <f ca="1">IF(项目基本情况!B11="自然人","——",ROUND(C6*F32/(1+'数据-取费表'!C42),2))</f>
        <v>211.95</v>
      </c>
      <c r="D32" s="3567" t="s">
        <v>722</v>
      </c>
      <c r="E32" s="302" t="s">
        <v>710</v>
      </c>
      <c r="F32" s="331">
        <f>'数据-取费表'!B41</f>
        <v>5.6000000000000001E-2</v>
      </c>
      <c r="G32" s="1384"/>
      <c r="H32" s="2697"/>
      <c r="I32" s="1398"/>
      <c r="J32" s="1399"/>
      <c r="K32" s="2475"/>
      <c r="L32" s="2698"/>
      <c r="M32" s="2699"/>
    </row>
    <row r="33" spans="1:18" ht="18" customHeight="1">
      <c r="A33" s="982" t="s">
        <v>399</v>
      </c>
      <c r="B33" s="302" t="s">
        <v>725</v>
      </c>
      <c r="C33" s="21">
        <f ca="1">IF(项目基本情况!B11="自然人","——",IF(D33="按租金收入计税",ROUND(C6*F33/(1+'数据-取费表'!C42),2),IF(D33="按房产原值计税",ROUND(C29*F33*0.7,2),INDIRECT("'数据-取费表'!Aj"&amp;$G$1))))</f>
        <v>454.17</v>
      </c>
      <c r="D33" s="1370" t="s">
        <v>3337</v>
      </c>
      <c r="E33" s="302" t="s">
        <v>710</v>
      </c>
      <c r="F33" s="322">
        <f>IF(D33="按票据","——",IF(D33="按租金收入计税",'数据-取费表'!B51,'数据-取费表'!B50))</f>
        <v>0.12</v>
      </c>
      <c r="G33" s="1384"/>
      <c r="H33" s="2700"/>
      <c r="I33" s="1398"/>
      <c r="J33" s="1399"/>
      <c r="K33" s="2701"/>
      <c r="L33" s="2700"/>
      <c r="M33" s="2700"/>
    </row>
    <row r="34" spans="1:18" ht="18" customHeight="1">
      <c r="A34" s="1069" t="s">
        <v>678</v>
      </c>
      <c r="B34" s="155" t="s">
        <v>728</v>
      </c>
      <c r="C34" s="22">
        <f ca="1">IF(项目基本情况!B11="自然人","——",ROUND(F34*F35/10000,2))</f>
        <v>0</v>
      </c>
      <c r="D34" s="324" t="s">
        <v>729</v>
      </c>
      <c r="E34" s="302" t="s">
        <v>730</v>
      </c>
      <c r="F34" s="325">
        <f>'数据-取费表'!B52</f>
        <v>0</v>
      </c>
      <c r="G34" s="1384"/>
      <c r="H34" s="2697"/>
      <c r="I34" s="1398"/>
      <c r="J34" s="1399"/>
      <c r="K34" s="2702"/>
      <c r="L34" s="2703"/>
      <c r="M34" s="2703"/>
    </row>
    <row r="35" spans="1:18" ht="18" customHeight="1">
      <c r="A35" s="1103"/>
      <c r="B35" s="1101"/>
      <c r="C35" s="26"/>
      <c r="D35" s="327"/>
      <c r="E35" s="302" t="s">
        <v>734</v>
      </c>
      <c r="F35" s="303">
        <f ca="1">INDIRECT("'数据-取费表'!r"&amp;$G$1)</f>
        <v>0</v>
      </c>
      <c r="G35" s="1384"/>
      <c r="H35" s="2697"/>
      <c r="I35" s="1398"/>
      <c r="J35" s="1399"/>
      <c r="K35" s="2701"/>
      <c r="L35" s="2700"/>
      <c r="M35" s="2700"/>
    </row>
    <row r="36" spans="1:18" ht="18" customHeight="1">
      <c r="A36" s="1102" t="s">
        <v>402</v>
      </c>
      <c r="B36" s="302" t="s">
        <v>736</v>
      </c>
      <c r="C36" s="21">
        <f ca="1">ROUND(C29*F36,2)</f>
        <v>62.78</v>
      </c>
      <c r="D36" s="3567" t="s">
        <v>769</v>
      </c>
      <c r="E36" s="302" t="s">
        <v>710</v>
      </c>
      <c r="F36" s="328">
        <f ca="1">INDIRECT("'数据-取费表'!Ak"&amp;$G$1)</f>
        <v>5.0000000000000001E-3</v>
      </c>
      <c r="G36" s="1384"/>
      <c r="H36" s="2700"/>
      <c r="I36" s="1398"/>
      <c r="J36" s="1399"/>
      <c r="K36" s="2544"/>
      <c r="L36" s="2700"/>
      <c r="M36" s="2700"/>
    </row>
    <row r="37" spans="1:18" ht="18" customHeight="1">
      <c r="A37" s="982" t="s">
        <v>437</v>
      </c>
      <c r="B37" s="302" t="s">
        <v>740</v>
      </c>
      <c r="C37" s="21">
        <f ca="1">ROUND(C13*F37,2)</f>
        <v>8.16</v>
      </c>
      <c r="D37" s="3567" t="s">
        <v>741</v>
      </c>
      <c r="E37" s="302" t="s">
        <v>710</v>
      </c>
      <c r="F37" s="330">
        <f ca="1">INDIRECT("'数据-取费表'!Al"&amp;$G$1)</f>
        <v>1E-3</v>
      </c>
      <c r="G37" s="1384"/>
      <c r="H37" s="2700"/>
      <c r="I37" s="1398"/>
      <c r="J37" s="1399"/>
      <c r="K37" s="2544"/>
      <c r="L37" s="2700"/>
      <c r="M37" s="2700"/>
    </row>
    <row r="38" spans="1:18" ht="18" customHeight="1" thickBot="1">
      <c r="A38" s="1089" t="s">
        <v>681</v>
      </c>
      <c r="B38" s="1090" t="s">
        <v>726</v>
      </c>
      <c r="C38" s="1091">
        <f ca="1">ROUND(C5*F38,2)</f>
        <v>39.79</v>
      </c>
      <c r="D38" s="1092" t="s">
        <v>746</v>
      </c>
      <c r="E38" s="1090" t="s">
        <v>710</v>
      </c>
      <c r="F38" s="1086">
        <f ca="1">INDIRECT("'数据-取费表'!Am"&amp;$G$1)</f>
        <v>0.01</v>
      </c>
      <c r="G38" s="1384"/>
      <c r="H38" s="2700"/>
      <c r="I38" s="1398"/>
      <c r="J38" s="1399"/>
      <c r="K38" s="2704"/>
      <c r="L38" s="2700"/>
      <c r="M38" s="2700"/>
    </row>
    <row r="39" spans="1:18" ht="24.6" customHeight="1" thickTop="1">
      <c r="A39" s="1079" t="s">
        <v>394</v>
      </c>
      <c r="B39" s="1094" t="s">
        <v>750</v>
      </c>
      <c r="C39" s="310">
        <f ca="1">C5-C30</f>
        <v>3202</v>
      </c>
      <c r="D39" s="1095" t="s">
        <v>751</v>
      </c>
      <c r="E39" s="1096"/>
      <c r="F39" s="1097"/>
      <c r="G39" s="1384"/>
      <c r="H39" s="2700"/>
      <c r="I39" s="1398"/>
      <c r="J39" s="1399"/>
      <c r="K39" s="2704"/>
      <c r="L39" s="2700"/>
      <c r="M39" s="2700"/>
    </row>
    <row r="40" spans="1:18" ht="18" customHeight="1">
      <c r="A40" s="299" t="s">
        <v>395</v>
      </c>
      <c r="B40" s="300" t="s">
        <v>772</v>
      </c>
      <c r="C40" s="301">
        <f ca="1">ROUND(C39*(1-((1+F42)/(1+F40))^F41)/(F40-F42),0)</f>
        <v>54215</v>
      </c>
      <c r="D40" s="324" t="s">
        <v>756</v>
      </c>
      <c r="E40" s="302" t="s">
        <v>757</v>
      </c>
      <c r="F40" s="312">
        <f ca="1">INDIRECT("'数据-取费表'!I"&amp;$G$1)</f>
        <v>5.5E-2</v>
      </c>
      <c r="G40" s="1384"/>
      <c r="H40" s="1461"/>
      <c r="I40" s="1398"/>
      <c r="J40" s="1399"/>
      <c r="K40" s="2704"/>
      <c r="L40" s="1461"/>
      <c r="M40" s="1461"/>
    </row>
    <row r="41" spans="1:18" ht="18" customHeight="1">
      <c r="A41" s="304"/>
      <c r="B41" s="305"/>
      <c r="C41" s="306"/>
      <c r="D41" s="332" t="s">
        <v>773</v>
      </c>
      <c r="E41" s="302" t="s">
        <v>761</v>
      </c>
      <c r="F41" s="333">
        <f ca="1">IF(INDIRECT("'数据-取费表'!af"&amp;$G$1)=0,INDIRECT("'数据-取费表'!ae"&amp;$G$1),INDIRECT("'数据-取费表'!af"&amp;$G$1))</f>
        <v>50</v>
      </c>
      <c r="G41" s="1384"/>
      <c r="H41" s="1191"/>
      <c r="I41" s="1398"/>
      <c r="J41" s="1399"/>
      <c r="K41" s="2544"/>
      <c r="L41" s="1191"/>
      <c r="M41" s="1191"/>
    </row>
    <row r="42" spans="1:18" ht="18" customHeight="1">
      <c r="A42" s="308"/>
      <c r="B42" s="309"/>
      <c r="C42" s="310"/>
      <c r="D42" s="327"/>
      <c r="E42" s="302" t="s">
        <v>764</v>
      </c>
      <c r="F42" s="312">
        <f ca="1">INDIRECT("'数据-取费表'!v"&amp;$G$1)</f>
        <v>0</v>
      </c>
      <c r="G42" s="1384"/>
      <c r="H42" s="1191"/>
      <c r="I42" s="1398"/>
      <c r="J42" s="1399"/>
      <c r="K42" s="2544"/>
      <c r="L42" s="1191"/>
      <c r="M42" s="1191"/>
    </row>
    <row r="43" spans="1:18" ht="18" customHeight="1" thickBot="1">
      <c r="A43" s="334" t="s">
        <v>396</v>
      </c>
      <c r="B43" s="335" t="s">
        <v>774</v>
      </c>
      <c r="C43" s="336">
        <f ca="1">ROUND(C40*10000/F43,0)</f>
        <v>31374</v>
      </c>
      <c r="D43" s="337" t="s">
        <v>775</v>
      </c>
      <c r="E43" s="338" t="s">
        <v>776</v>
      </c>
      <c r="F43" s="339">
        <f ca="1">INDIRECT("'数据-取费表'!k"&amp;$G$1)</f>
        <v>17280.400000000001</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806</v>
      </c>
      <c r="P45" s="1461"/>
      <c r="Q45" s="1461"/>
      <c r="R45" s="1461"/>
    </row>
    <row r="46" spans="1:18" s="1384" customFormat="1" ht="13.5" thickBot="1">
      <c r="A46" s="1404" t="s">
        <v>807</v>
      </c>
      <c r="C46" s="1405">
        <f ca="1">C68-C40</f>
        <v>-55417</v>
      </c>
      <c r="D46" s="1406" t="str">
        <f>C2</f>
        <v>万元</v>
      </c>
      <c r="E46" s="1400"/>
      <c r="F46" s="1400"/>
      <c r="I46" s="1407" t="s">
        <v>808</v>
      </c>
      <c r="J46" s="1408"/>
      <c r="K46" s="1409"/>
      <c r="L46" s="1410">
        <f ca="1">IF(M47="住宅",0,IF(L48&gt;J51,L60,J60))</f>
        <v>9776</v>
      </c>
      <c r="O46" s="1411" t="s">
        <v>809</v>
      </c>
      <c r="P46" s="1412" t="s">
        <v>810</v>
      </c>
      <c r="Q46" s="1413" t="s">
        <v>811</v>
      </c>
      <c r="R46" s="1413" t="s">
        <v>812</v>
      </c>
    </row>
    <row r="47" spans="1:18" s="1384" customFormat="1" ht="13.5" thickBot="1">
      <c r="A47" s="946" t="s">
        <v>685</v>
      </c>
      <c r="B47" s="978" t="s">
        <v>686</v>
      </c>
      <c r="C47" s="1117" t="s">
        <v>687</v>
      </c>
      <c r="D47" s="978" t="s">
        <v>688</v>
      </c>
      <c r="E47" s="1058" t="s">
        <v>689</v>
      </c>
      <c r="F47" s="1059"/>
      <c r="G47" s="722"/>
      <c r="I47" s="1414" t="s">
        <v>813</v>
      </c>
      <c r="J47" s="1415" t="s">
        <v>3426</v>
      </c>
      <c r="K47" s="1416" t="s">
        <v>814</v>
      </c>
      <c r="L47" s="1417">
        <f ca="1">INDIRECT("'数据-取费表'!d"&amp;$G$1)</f>
        <v>50</v>
      </c>
      <c r="M47" s="1380" t="str">
        <f>IF(ISNUMBER(FIND("住宅",C1)),"住宅","非住宅")</f>
        <v>非住宅</v>
      </c>
      <c r="O47" s="1418" t="s">
        <v>403</v>
      </c>
      <c r="P47" s="1419" t="s">
        <v>815</v>
      </c>
      <c r="Q47" s="1420">
        <f ca="1">C40+J29</f>
        <v>54215</v>
      </c>
      <c r="R47" s="1420" t="s">
        <v>816</v>
      </c>
    </row>
    <row r="48" spans="1:18" s="1384" customFormat="1" ht="28.5" thickBot="1">
      <c r="A48" s="1110" t="s">
        <v>438</v>
      </c>
      <c r="B48" s="300" t="s">
        <v>690</v>
      </c>
      <c r="C48" s="3577">
        <f ca="1">C49+C53+C55</f>
        <v>0</v>
      </c>
      <c r="D48" s="1112"/>
      <c r="E48" s="1113"/>
      <c r="F48" s="962"/>
      <c r="G48" s="722"/>
      <c r="H48" s="723"/>
      <c r="I48" s="1421" t="s">
        <v>817</v>
      </c>
      <c r="J48" s="1422" t="s">
        <v>3545</v>
      </c>
      <c r="K48" s="1423" t="s">
        <v>818</v>
      </c>
      <c r="L48" s="1424">
        <f ca="1">INDIRECT("'数据-取费表'!f"&amp;$G$1)</f>
        <v>50</v>
      </c>
      <c r="O48" s="1418" t="s">
        <v>404</v>
      </c>
      <c r="P48" s="1419" t="s">
        <v>819</v>
      </c>
      <c r="Q48" s="1420" t="str">
        <f ca="1">J60</f>
        <v>0</v>
      </c>
      <c r="R48" s="1420" t="s">
        <v>820</v>
      </c>
    </row>
    <row r="49" spans="1:18" s="1384" customFormat="1" ht="13.5" thickBot="1">
      <c r="A49" s="975" t="s">
        <v>439</v>
      </c>
      <c r="B49" s="1371" t="s">
        <v>777</v>
      </c>
      <c r="C49" s="1114">
        <f ca="1">ROUND(F49*F51*F50*(1-F52)/10000,0)</f>
        <v>0</v>
      </c>
      <c r="D49" s="1055" t="s">
        <v>2105</v>
      </c>
      <c r="E49" s="1372" t="s">
        <v>778</v>
      </c>
      <c r="F49" s="1060"/>
      <c r="G49" s="1425"/>
      <c r="H49" s="723"/>
      <c r="I49" s="1421" t="s">
        <v>821</v>
      </c>
      <c r="J49" s="1426">
        <v>1995</v>
      </c>
      <c r="K49" s="1423" t="s">
        <v>822</v>
      </c>
      <c r="L49" s="1427"/>
      <c r="O49" s="1428" t="s">
        <v>405</v>
      </c>
      <c r="P49" s="1419" t="s">
        <v>823</v>
      </c>
      <c r="Q49" s="1420">
        <f ca="1">C29</f>
        <v>12555</v>
      </c>
      <c r="R49" s="1420" t="s">
        <v>816</v>
      </c>
    </row>
    <row r="50" spans="1:18" s="1384" customFormat="1" ht="13.5" thickBot="1">
      <c r="A50" s="976"/>
      <c r="B50" s="979"/>
      <c r="C50" s="1118"/>
      <c r="D50" s="953"/>
      <c r="E50" s="1056" t="s">
        <v>695</v>
      </c>
      <c r="F50" s="1057">
        <f ca="1">F7</f>
        <v>17280.400000000001</v>
      </c>
      <c r="H50" s="723"/>
      <c r="I50" s="1421" t="s">
        <v>824</v>
      </c>
      <c r="J50" s="1429">
        <f>SUMPRODUCT((I63:I65=J47)*(J62:L62=J48)*(J63:L65))</f>
        <v>60</v>
      </c>
      <c r="K50" s="1423" t="s">
        <v>825</v>
      </c>
      <c r="L50" s="1427">
        <f>'基准地价修正(划拨)'!B2</f>
        <v>65195</v>
      </c>
      <c r="M50" s="1430"/>
      <c r="O50" s="1428" t="s">
        <v>406</v>
      </c>
      <c r="P50" s="1419" t="s">
        <v>826</v>
      </c>
      <c r="Q50" s="1431" t="e">
        <f ca="1">J58</f>
        <v>#VALUE!</v>
      </c>
      <c r="R50" s="1420"/>
    </row>
    <row r="51" spans="1:18" s="1384" customFormat="1" ht="13.5" thickBot="1">
      <c r="A51" s="977"/>
      <c r="B51" s="979"/>
      <c r="C51" s="980"/>
      <c r="D51" s="953"/>
      <c r="E51" s="981" t="s">
        <v>696</v>
      </c>
      <c r="F51" s="303">
        <f ca="1">F8</f>
        <v>365</v>
      </c>
      <c r="I51" s="1432" t="s">
        <v>827</v>
      </c>
      <c r="J51" s="1433">
        <f>IF(J49="",J50,J49+J50-YEAR('数据-取费表'!B2))</f>
        <v>31</v>
      </c>
      <c r="K51" s="1434" t="s">
        <v>828</v>
      </c>
      <c r="L51" s="1435">
        <f ca="1">ROUND(-PV(INDIRECT("'数据-取费表'!h"&amp;$G$1),J51,(C39-C13*C76),0),0)</f>
        <v>41020</v>
      </c>
      <c r="M51" s="1436"/>
      <c r="O51" s="1428" t="s">
        <v>407</v>
      </c>
      <c r="P51" s="1419" t="s">
        <v>829</v>
      </c>
      <c r="Q51" s="1431">
        <f>J52</f>
        <v>7.4999999999999997E-2</v>
      </c>
      <c r="R51" s="1420"/>
    </row>
    <row r="52" spans="1:18" s="1384" customFormat="1" ht="13.5" thickBot="1">
      <c r="A52" s="977"/>
      <c r="B52" s="979"/>
      <c r="C52" s="980"/>
      <c r="D52" s="953"/>
      <c r="E52" s="981" t="s">
        <v>697</v>
      </c>
      <c r="F52" s="1054"/>
      <c r="I52" s="1437" t="s">
        <v>830</v>
      </c>
      <c r="J52" s="1438">
        <v>7.4999999999999997E-2</v>
      </c>
      <c r="K52" s="1437" t="s">
        <v>831</v>
      </c>
      <c r="L52" s="1438">
        <f>'基准地价修正(划拨)'!G24</f>
        <v>5.5E-2</v>
      </c>
      <c r="O52" s="1428" t="s">
        <v>408</v>
      </c>
      <c r="P52" s="1419" t="s">
        <v>832</v>
      </c>
      <c r="Q52" s="1420">
        <f ca="1">J53</f>
        <v>31</v>
      </c>
      <c r="R52" s="1420" t="s">
        <v>833</v>
      </c>
    </row>
    <row r="53" spans="1:18" s="1384" customFormat="1" ht="24.75" thickBot="1">
      <c r="A53" s="1152" t="s">
        <v>440</v>
      </c>
      <c r="B53" s="1373" t="s">
        <v>698</v>
      </c>
      <c r="C53" s="316">
        <f ca="1">ROUND(IF(F53="押一",C49/12*F11,IF(F53="押二",C49/12*2*F11,IF(F53="押三",C49/12*3*F11,C54*F11))),0)</f>
        <v>0</v>
      </c>
      <c r="D53" s="1366" t="s">
        <v>2113</v>
      </c>
      <c r="E53" s="313" t="s">
        <v>699</v>
      </c>
      <c r="F53" s="1116"/>
      <c r="I53" s="1439" t="s">
        <v>834</v>
      </c>
      <c r="J53" s="2168">
        <f ca="1">IF(M47="住宅",IF(D1="——",MAX(J51,L48),MAX(J51,L48-'数据-取费表'!B24)),IF(D1="——",MIN(J51,L48),MIN(J51,L48-'数据-取费表'!B24)))</f>
        <v>31</v>
      </c>
      <c r="K53" s="3872" t="s">
        <v>835</v>
      </c>
      <c r="L53" s="3873"/>
      <c r="O53" s="1418" t="s">
        <v>409</v>
      </c>
      <c r="P53" s="1419" t="s">
        <v>836</v>
      </c>
      <c r="Q53" s="1420">
        <f ca="1">Q47+Q48</f>
        <v>54215</v>
      </c>
      <c r="R53" s="1420" t="s">
        <v>410</v>
      </c>
    </row>
    <row r="54" spans="1:18" s="1384" customFormat="1" ht="13.5" thickBot="1">
      <c r="A54" s="1153"/>
      <c r="B54" s="1367" t="s">
        <v>677</v>
      </c>
      <c r="C54" s="959"/>
      <c r="D54" s="1366"/>
      <c r="E54" s="3555"/>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837</v>
      </c>
      <c r="P54" s="1381"/>
      <c r="Q54" s="1381"/>
      <c r="R54" s="1381"/>
    </row>
    <row r="55" spans="1:18" s="1384" customFormat="1" ht="13.5" thickBot="1">
      <c r="A55" s="1083" t="s">
        <v>437</v>
      </c>
      <c r="B55" s="1369" t="s">
        <v>701</v>
      </c>
      <c r="C55" s="1084"/>
      <c r="D55" s="1366"/>
      <c r="E55" s="3555"/>
      <c r="F55" s="1440"/>
      <c r="I55" s="1443" t="s">
        <v>838</v>
      </c>
      <c r="J55" s="1444" t="e">
        <f ca="1">ROUND(IF(J47="钢混",J57/J50,1-(1-2%)*(J50-J57)/J50),3)</f>
        <v>#VALUE!</v>
      </c>
      <c r="K55" s="1445" t="s">
        <v>839</v>
      </c>
      <c r="L55" s="1446" t="s">
        <v>3678</v>
      </c>
      <c r="O55" s="1411" t="s">
        <v>809</v>
      </c>
      <c r="P55" s="1412" t="s">
        <v>810</v>
      </c>
      <c r="Q55" s="1413" t="s">
        <v>811</v>
      </c>
      <c r="R55" s="1413" t="s">
        <v>812</v>
      </c>
    </row>
    <row r="56" spans="1:18" s="1384" customFormat="1" ht="25.5" thickTop="1" thickBot="1">
      <c r="A56" s="957">
        <v>2</v>
      </c>
      <c r="B56" s="958" t="s">
        <v>702</v>
      </c>
      <c r="C56" s="232">
        <f ca="1">C13</f>
        <v>8161</v>
      </c>
      <c r="D56" s="1447"/>
      <c r="E56" s="1448"/>
      <c r="F56" s="1440"/>
      <c r="I56" s="1449" t="s">
        <v>840</v>
      </c>
      <c r="J56" s="1450" t="s">
        <v>3546</v>
      </c>
      <c r="K56" s="1421" t="s">
        <v>841</v>
      </c>
      <c r="L56" s="1424">
        <f ca="1">IF(L48&lt;J51,"——",L48-J53)</f>
        <v>19</v>
      </c>
      <c r="O56" s="1418" t="s">
        <v>403</v>
      </c>
      <c r="P56" s="1419" t="s">
        <v>815</v>
      </c>
      <c r="Q56" s="1420">
        <f ca="1">C40+J29</f>
        <v>54215</v>
      </c>
      <c r="R56" s="1420" t="s">
        <v>816</v>
      </c>
    </row>
    <row r="57" spans="1:18" s="1384" customFormat="1" ht="24.75" thickBot="1">
      <c r="A57" s="1451"/>
      <c r="B57" s="950" t="s">
        <v>765</v>
      </c>
      <c r="C57" s="238">
        <f ca="1">C29</f>
        <v>12555</v>
      </c>
      <c r="D57" s="1452"/>
      <c r="E57" s="1453"/>
      <c r="F57" s="1454"/>
      <c r="I57" s="1455" t="s">
        <v>842</v>
      </c>
      <c r="J57" s="1456" t="str">
        <f ca="1">IF(OR(M47="住宅",J51&lt;L48,J56="是"),"——",J51-L48)</f>
        <v>——</v>
      </c>
      <c r="K57" s="1421" t="s">
        <v>843</v>
      </c>
      <c r="L57" s="1424">
        <f ca="1">IF(L48&lt;J51,"——",IF(L55="比较法",L49,IF(L55="基准地价",L50,L51)))</f>
        <v>65195</v>
      </c>
      <c r="O57" s="1418" t="s">
        <v>404</v>
      </c>
      <c r="P57" s="1419" t="s">
        <v>844</v>
      </c>
      <c r="Q57" s="1420">
        <f ca="1">L60</f>
        <v>9776</v>
      </c>
      <c r="R57" s="1420" t="s">
        <v>845</v>
      </c>
    </row>
    <row r="58" spans="1:18" s="1384" customFormat="1" ht="24.75" thickBot="1">
      <c r="A58" s="315" t="s">
        <v>393</v>
      </c>
      <c r="B58" s="958" t="s">
        <v>712</v>
      </c>
      <c r="C58" s="316">
        <f ca="1">ROUND(C59+C64+C65+C66,0)</f>
        <v>71</v>
      </c>
      <c r="D58" s="960" t="s">
        <v>713</v>
      </c>
      <c r="E58" s="961"/>
      <c r="F58" s="962"/>
      <c r="I58" s="1455" t="s">
        <v>846</v>
      </c>
      <c r="J58" s="1457" t="e">
        <f ca="1">IF(J55&lt;0.4,0.4,J55)</f>
        <v>#VALUE!</v>
      </c>
      <c r="K58" s="1434" t="s">
        <v>847</v>
      </c>
      <c r="L58" s="1424">
        <f ca="1">ROUND(POWER(1+L52,L47-L48)*(POWER(1+L52,L48)-1)/(POWER(1+L52,L47)-1),4)</f>
        <v>1</v>
      </c>
      <c r="O58" s="1428" t="s">
        <v>405</v>
      </c>
      <c r="P58" s="1419" t="s">
        <v>848</v>
      </c>
      <c r="Q58" s="1420">
        <f>IF(L55="比较法",L49,IF(L55="基准地价",L50,0))</f>
        <v>65195</v>
      </c>
      <c r="R58" s="1420" t="s">
        <v>816</v>
      </c>
    </row>
    <row r="59" spans="1:18" s="1384" customFormat="1" ht="24.75" thickBot="1">
      <c r="A59" s="982" t="s">
        <v>398</v>
      </c>
      <c r="B59" s="950" t="s">
        <v>717</v>
      </c>
      <c r="C59" s="2316">
        <f ca="1">ROUND(IF(AND(项目基本情况!B11="自然人",项目基本情况!B10="北京市"),C49*F59/(1+'数据-取费表'!C42),C60+C61+C62),0)</f>
        <v>0</v>
      </c>
      <c r="D59" s="963" t="s">
        <v>718</v>
      </c>
      <c r="E59" s="964" t="s">
        <v>719</v>
      </c>
      <c r="F59" s="2315" t="str">
        <f>IF(项目基本情况!B11="企业","——",IF('数据-取费表'!B10="住宅",IF(F49*F50*F51/12/(1+'数据-取费表'!F30)&gt;100000,4%,2.5%),IF(F49*F50*F51/12/(1+'数据-取费表'!F30)&gt;100000,12%,7%)))</f>
        <v>——</v>
      </c>
      <c r="I59" s="1455" t="s">
        <v>849</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f ca="1">ROUND(IF(D1="在建（套用方法）",M59,IF(D1="土地（套用方法）",N59,POWER(1+L52,L47-J51)*(POWER(1+L52,J51)-1)/(POWER(1+L52,L47)-1))),4)</f>
        <v>0.86960000000000004</v>
      </c>
      <c r="M59" s="1380">
        <f ca="1">ROUND(POWER(1+L52,L47-(J51+'数据-取费表'!B24))*(POWER(1+L52,(J51+'数据-取费表'!B24))-1)/(POWER(1+L52,L47)-1),4)</f>
        <v>0.86960000000000004</v>
      </c>
      <c r="N59" s="1380">
        <f ca="1">ROUND(POWER(1+L52,L47-(J51+'数据-取费表'!B20))*(POWER(1+L52,(J51+'数据-取费表'!B20))-1)/(POWER(1+L52,L47)-1),4)</f>
        <v>0.89039999999999997</v>
      </c>
      <c r="O59" s="1428" t="s">
        <v>406</v>
      </c>
      <c r="P59" s="1419" t="s">
        <v>850</v>
      </c>
      <c r="Q59" s="1431">
        <f>L52</f>
        <v>5.5E-2</v>
      </c>
      <c r="R59" s="1420"/>
    </row>
    <row r="60" spans="1:18" s="1384" customFormat="1" ht="16.5" thickBot="1">
      <c r="A60" s="982" t="s">
        <v>397</v>
      </c>
      <c r="B60" s="950" t="s">
        <v>721</v>
      </c>
      <c r="C60" s="21">
        <f ca="1">IF(项目基本情况!B11="自然人","——",ROUND(C48*F60/(1+'数据-取费表'!C42),2))</f>
        <v>0</v>
      </c>
      <c r="D60" s="964" t="s">
        <v>722</v>
      </c>
      <c r="E60" s="950" t="s">
        <v>710</v>
      </c>
      <c r="F60" s="331">
        <f t="shared" ref="F60:F66" si="0">F32</f>
        <v>5.6000000000000001E-2</v>
      </c>
      <c r="I60" s="1458" t="s">
        <v>851</v>
      </c>
      <c r="J60" s="1459" t="str">
        <f ca="1">IF(OR(M47="住宅",J51&lt;L48,J56="是"),"0",ROUND(J59/(1+J52)^J53,0))</f>
        <v>0</v>
      </c>
      <c r="K60" s="1460" t="s">
        <v>852</v>
      </c>
      <c r="L60" s="1459">
        <f ca="1">IF(OR(M47="住宅",L48&lt;J51),0,ROUND(L57*(L58/L59-1),0))</f>
        <v>9776</v>
      </c>
      <c r="O60" s="1428" t="s">
        <v>407</v>
      </c>
      <c r="P60" s="1419" t="s">
        <v>853</v>
      </c>
      <c r="Q60" s="1420">
        <f ca="1">L58</f>
        <v>1</v>
      </c>
      <c r="R60" s="1420" t="s">
        <v>854</v>
      </c>
    </row>
    <row r="61" spans="1:18" s="1384" customFormat="1" ht="13.5" thickBot="1">
      <c r="A61" s="982" t="s">
        <v>779</v>
      </c>
      <c r="B61" s="950" t="s">
        <v>725</v>
      </c>
      <c r="C61" s="21">
        <f ca="1">IF(项目基本情况!B11="自然人","——",IF(D61="按租金收入计税",ROUND(C49*F61/(1+'数据-取费表'!C42),2),IF(D61="按房产原值计税",ROUND(C57*F61*0.7,2),INDIRECT("'数据-取费表'!Aj"&amp;$G$1))))</f>
        <v>0</v>
      </c>
      <c r="D61" s="1370" t="s">
        <v>3337</v>
      </c>
      <c r="E61" s="950" t="s">
        <v>710</v>
      </c>
      <c r="F61" s="322">
        <f t="shared" si="0"/>
        <v>0.12</v>
      </c>
      <c r="I61" s="1461"/>
      <c r="J61" s="1461"/>
      <c r="K61" s="1461"/>
      <c r="L61" s="1461"/>
      <c r="O61" s="1428" t="s">
        <v>408</v>
      </c>
      <c r="P61" s="1419" t="str">
        <f>K59</f>
        <v>建筑物剩余耐用年限下的土地年期修正系数Kn</v>
      </c>
      <c r="Q61" s="1420">
        <f ca="1">L59</f>
        <v>0.86960000000000004</v>
      </c>
      <c r="R61" s="1420" t="s">
        <v>855</v>
      </c>
    </row>
    <row r="62" spans="1:18" s="1384" customFormat="1" ht="13.5" thickBot="1">
      <c r="A62" s="982" t="s">
        <v>782</v>
      </c>
      <c r="B62" s="949" t="s">
        <v>728</v>
      </c>
      <c r="C62" s="22">
        <f ca="1">IF(项目基本情况!B11="自然人","——",ROUND(F62*F63/10000,2))</f>
        <v>0</v>
      </c>
      <c r="D62" s="965" t="s">
        <v>729</v>
      </c>
      <c r="E62" s="950" t="s">
        <v>730</v>
      </c>
      <c r="F62" s="325">
        <f t="shared" si="0"/>
        <v>0</v>
      </c>
      <c r="I62" s="1462" t="s">
        <v>856</v>
      </c>
      <c r="J62" s="1463" t="s">
        <v>857</v>
      </c>
      <c r="K62" s="1463" t="s">
        <v>858</v>
      </c>
      <c r="L62" s="1463" t="s">
        <v>859</v>
      </c>
      <c r="M62" s="1464" t="s">
        <v>860</v>
      </c>
      <c r="O62" s="1418" t="s">
        <v>409</v>
      </c>
      <c r="P62" s="1419" t="s">
        <v>836</v>
      </c>
      <c r="Q62" s="1420">
        <f ca="1">Q56+Q57</f>
        <v>63991</v>
      </c>
      <c r="R62" s="1420" t="s">
        <v>410</v>
      </c>
    </row>
    <row r="63" spans="1:18" s="1384" customFormat="1" ht="13.5" thickBot="1">
      <c r="A63" s="326"/>
      <c r="B63" s="956"/>
      <c r="C63" s="26"/>
      <c r="D63" s="966"/>
      <c r="E63" s="950" t="s">
        <v>734</v>
      </c>
      <c r="F63" s="303">
        <f t="shared" ca="1" si="0"/>
        <v>0</v>
      </c>
      <c r="I63" s="1462" t="s">
        <v>862</v>
      </c>
      <c r="J63" s="1463">
        <v>70</v>
      </c>
      <c r="K63" s="1463">
        <v>50</v>
      </c>
      <c r="L63" s="1463">
        <v>80</v>
      </c>
      <c r="M63" s="1465">
        <v>0.02</v>
      </c>
      <c r="O63" s="1403" t="s">
        <v>863</v>
      </c>
      <c r="P63" s="1381"/>
      <c r="Q63" s="1381"/>
      <c r="R63" s="1381"/>
    </row>
    <row r="64" spans="1:18" s="1384" customFormat="1" ht="13.5" thickBot="1">
      <c r="A64" s="982" t="s">
        <v>402</v>
      </c>
      <c r="B64" s="950" t="s">
        <v>736</v>
      </c>
      <c r="C64" s="21">
        <f ca="1">ROUND(C57*F64,2)</f>
        <v>62.78</v>
      </c>
      <c r="D64" s="964" t="s">
        <v>769</v>
      </c>
      <c r="E64" s="950" t="s">
        <v>710</v>
      </c>
      <c r="F64" s="328">
        <f t="shared" ca="1" si="0"/>
        <v>5.0000000000000001E-3</v>
      </c>
      <c r="I64" s="1462" t="s">
        <v>864</v>
      </c>
      <c r="J64" s="1463">
        <v>50</v>
      </c>
      <c r="K64" s="1463">
        <v>35</v>
      </c>
      <c r="L64" s="1463">
        <v>60</v>
      </c>
      <c r="M64" s="1464">
        <v>0</v>
      </c>
      <c r="O64" s="1411" t="s">
        <v>809</v>
      </c>
      <c r="P64" s="1412" t="s">
        <v>810</v>
      </c>
      <c r="Q64" s="1413" t="s">
        <v>811</v>
      </c>
      <c r="R64" s="1413" t="s">
        <v>812</v>
      </c>
    </row>
    <row r="65" spans="1:18" s="1384" customFormat="1" ht="13.5" thickBot="1">
      <c r="A65" s="982" t="s">
        <v>790</v>
      </c>
      <c r="B65" s="950" t="s">
        <v>740</v>
      </c>
      <c r="C65" s="21">
        <f ca="1">ROUND(C56*F65,2)</f>
        <v>8.16</v>
      </c>
      <c r="D65" s="964" t="s">
        <v>741</v>
      </c>
      <c r="E65" s="950" t="s">
        <v>710</v>
      </c>
      <c r="F65" s="330">
        <f t="shared" ca="1" si="0"/>
        <v>1E-3</v>
      </c>
      <c r="I65" s="1462" t="s">
        <v>865</v>
      </c>
      <c r="J65" s="1463">
        <v>40</v>
      </c>
      <c r="K65" s="1463">
        <v>30</v>
      </c>
      <c r="L65" s="1463">
        <v>50</v>
      </c>
      <c r="M65" s="1465">
        <v>0.02</v>
      </c>
      <c r="O65" s="1418" t="s">
        <v>403</v>
      </c>
      <c r="P65" s="1419" t="s">
        <v>815</v>
      </c>
      <c r="Q65" s="1420">
        <f ca="1">C40+J29</f>
        <v>54215</v>
      </c>
      <c r="R65" s="1420" t="s">
        <v>816</v>
      </c>
    </row>
    <row r="66" spans="1:18" s="1384" customFormat="1" ht="16.5" thickBot="1">
      <c r="A66" s="982" t="s">
        <v>791</v>
      </c>
      <c r="B66" s="950" t="s">
        <v>726</v>
      </c>
      <c r="C66" s="21">
        <f ca="1">ROUND(C48*F66,2)</f>
        <v>0</v>
      </c>
      <c r="D66" s="964" t="s">
        <v>746</v>
      </c>
      <c r="E66" s="950" t="s">
        <v>710</v>
      </c>
      <c r="F66" s="312">
        <f t="shared" ca="1" si="0"/>
        <v>0.01</v>
      </c>
      <c r="O66" s="1418" t="s">
        <v>404</v>
      </c>
      <c r="P66" s="1419" t="s">
        <v>844</v>
      </c>
      <c r="Q66" s="1420">
        <f ca="1">L60</f>
        <v>9776</v>
      </c>
      <c r="R66" s="1420" t="s">
        <v>867</v>
      </c>
    </row>
    <row r="67" spans="1:18" s="1384" customFormat="1" ht="16.5" thickBot="1">
      <c r="A67" s="957" t="s">
        <v>394</v>
      </c>
      <c r="B67" s="967" t="s">
        <v>750</v>
      </c>
      <c r="C67" s="316">
        <f ca="1">C48-C58</f>
        <v>-71</v>
      </c>
      <c r="D67" s="963" t="s">
        <v>751</v>
      </c>
      <c r="E67" s="968"/>
      <c r="F67" s="969"/>
      <c r="O67" s="1428" t="s">
        <v>405</v>
      </c>
      <c r="P67" s="1419" t="s">
        <v>848</v>
      </c>
      <c r="Q67" s="1466">
        <f ca="1">L51</f>
        <v>41020</v>
      </c>
      <c r="R67" s="1420" t="s">
        <v>868</v>
      </c>
    </row>
    <row r="68" spans="1:18" s="1384" customFormat="1" ht="16.5" thickBot="1">
      <c r="A68" s="947" t="s">
        <v>395</v>
      </c>
      <c r="B68" s="948" t="s">
        <v>772</v>
      </c>
      <c r="C68" s="301">
        <f ca="1">ROUND(C67*(1-((1+F70)/(1+F68))^F69)/(F68-F70),0)</f>
        <v>-1202</v>
      </c>
      <c r="D68" s="965" t="s">
        <v>756</v>
      </c>
      <c r="E68" s="950" t="s">
        <v>757</v>
      </c>
      <c r="F68" s="312">
        <f ca="1">F40</f>
        <v>5.5E-2</v>
      </c>
      <c r="O68" s="1428" t="s">
        <v>406</v>
      </c>
      <c r="P68" s="1467" t="s">
        <v>869</v>
      </c>
      <c r="Q68" s="1420">
        <f ca="1">ROUND(Q69-Q70*Q71,0)</f>
        <v>2631</v>
      </c>
      <c r="R68" s="1420" t="s">
        <v>414</v>
      </c>
    </row>
    <row r="69" spans="1:18" s="1384" customFormat="1" ht="13.5" thickBot="1">
      <c r="A69" s="951"/>
      <c r="B69" s="952"/>
      <c r="C69" s="306"/>
      <c r="D69" s="970" t="s">
        <v>760</v>
      </c>
      <c r="E69" s="950" t="s">
        <v>761</v>
      </c>
      <c r="F69" s="333">
        <f ca="1">F41</f>
        <v>50</v>
      </c>
      <c r="O69" s="1428" t="s">
        <v>411</v>
      </c>
      <c r="P69" s="1467" t="s">
        <v>870</v>
      </c>
      <c r="Q69" s="1420">
        <f ca="1">C39</f>
        <v>3202</v>
      </c>
      <c r="R69" s="1420" t="s">
        <v>816</v>
      </c>
    </row>
    <row r="70" spans="1:18" s="1384" customFormat="1" ht="13.5" thickBot="1">
      <c r="A70" s="954"/>
      <c r="B70" s="955"/>
      <c r="C70" s="310"/>
      <c r="D70" s="966"/>
      <c r="E70" s="950" t="s">
        <v>764</v>
      </c>
      <c r="F70" s="1054"/>
      <c r="O70" s="1428" t="s">
        <v>412</v>
      </c>
      <c r="P70" s="1467" t="s">
        <v>871</v>
      </c>
      <c r="Q70" s="1420">
        <f ca="1">C13</f>
        <v>8161</v>
      </c>
      <c r="R70" s="1420" t="s">
        <v>816</v>
      </c>
    </row>
    <row r="71" spans="1:18" s="1384" customFormat="1" ht="13.5" thickBot="1">
      <c r="A71" s="971" t="s">
        <v>396</v>
      </c>
      <c r="B71" s="972" t="s">
        <v>774</v>
      </c>
      <c r="C71" s="336">
        <f ca="1">ROUND(C68*10000/F71,0)</f>
        <v>-696</v>
      </c>
      <c r="D71" s="973" t="s">
        <v>775</v>
      </c>
      <c r="E71" s="974" t="s">
        <v>776</v>
      </c>
      <c r="F71" s="339">
        <f ca="1">F43</f>
        <v>17280.400000000001</v>
      </c>
      <c r="O71" s="1428" t="s">
        <v>413</v>
      </c>
      <c r="P71" s="1467" t="s">
        <v>872</v>
      </c>
      <c r="Q71" s="1431">
        <f ca="1">C76</f>
        <v>7.0000000000000007E-2</v>
      </c>
      <c r="R71" s="1420"/>
    </row>
    <row r="72" spans="1:18" s="1384" customFormat="1" ht="13.5" thickBot="1">
      <c r="B72" s="726"/>
      <c r="C72" s="726"/>
      <c r="O72" s="1428" t="s">
        <v>407</v>
      </c>
      <c r="P72" s="1419" t="s">
        <v>850</v>
      </c>
      <c r="Q72" s="1431">
        <f>L52</f>
        <v>5.5E-2</v>
      </c>
      <c r="R72" s="1420"/>
    </row>
    <row r="73" spans="1:18" ht="16.5" thickBot="1">
      <c r="A73" s="1384"/>
      <c r="B73" s="726"/>
      <c r="C73" s="726"/>
      <c r="D73" s="1384"/>
      <c r="E73" s="1384"/>
      <c r="F73" s="1384"/>
      <c r="O73" s="1428" t="s">
        <v>408</v>
      </c>
      <c r="P73" s="1419" t="s">
        <v>853</v>
      </c>
      <c r="Q73" s="1420">
        <f ca="1">L58</f>
        <v>1</v>
      </c>
      <c r="R73" s="1420" t="s">
        <v>854</v>
      </c>
    </row>
    <row r="74" spans="1:18" ht="13.5" thickBot="1">
      <c r="A74" s="1384"/>
      <c r="B74" s="273" t="s">
        <v>873</v>
      </c>
      <c r="C74" s="1469"/>
      <c r="D74" s="1384"/>
      <c r="E74" s="1384"/>
      <c r="F74" s="1384"/>
      <c r="O74" s="1428" t="s">
        <v>415</v>
      </c>
      <c r="P74" s="1419" t="str">
        <f>K59</f>
        <v>建筑物剩余耐用年限下的土地年期修正系数Kn</v>
      </c>
      <c r="Q74" s="1420">
        <f ca="1">L59</f>
        <v>0.86960000000000004</v>
      </c>
      <c r="R74" s="1420" t="s">
        <v>855</v>
      </c>
    </row>
    <row r="75" spans="1:18" ht="13.5" thickBot="1">
      <c r="A75" s="1384"/>
      <c r="B75" s="340" t="s">
        <v>793</v>
      </c>
      <c r="C75" s="341">
        <f ca="1">ROUND(C13*C76,0)</f>
        <v>571</v>
      </c>
      <c r="D75" s="1384"/>
      <c r="E75" s="1384"/>
      <c r="F75" s="1384"/>
      <c r="K75" s="1402"/>
      <c r="L75" s="1384"/>
      <c r="O75" s="1418" t="s">
        <v>409</v>
      </c>
      <c r="P75" s="1419" t="s">
        <v>836</v>
      </c>
      <c r="Q75" s="1420">
        <f ca="1">Q65+Q66</f>
        <v>63991</v>
      </c>
      <c r="R75" s="1420" t="s">
        <v>410</v>
      </c>
    </row>
    <row r="76" spans="1:18">
      <c r="B76" s="342" t="s">
        <v>794</v>
      </c>
      <c r="C76" s="343">
        <f ca="1">INDIRECT("'数据-取费表'!j"&amp;$G$1)</f>
        <v>7.0000000000000007E-2</v>
      </c>
      <c r="I76" s="1384"/>
      <c r="J76" s="1384"/>
      <c r="K76" s="1402"/>
      <c r="L76" s="1384"/>
    </row>
    <row r="77" spans="1:18">
      <c r="B77" s="344" t="s">
        <v>795</v>
      </c>
      <c r="C77" s="345"/>
      <c r="I77" s="1384"/>
      <c r="J77" s="1384"/>
      <c r="K77" s="1402"/>
      <c r="L77" s="1384"/>
    </row>
    <row r="78" spans="1:18">
      <c r="B78" s="270" t="s">
        <v>796</v>
      </c>
      <c r="C78" s="346"/>
    </row>
    <row r="79" spans="1:18">
      <c r="B79" s="340" t="s">
        <v>797</v>
      </c>
      <c r="C79" s="274">
        <f ca="1">1-C80</f>
        <v>0.82200000000000006</v>
      </c>
    </row>
    <row r="80" spans="1:18">
      <c r="B80" s="340" t="s">
        <v>798</v>
      </c>
      <c r="C80" s="274">
        <f ca="1">ROUND(C75/C39,3)</f>
        <v>0.17799999999999999</v>
      </c>
    </row>
    <row r="81" spans="2:3">
      <c r="B81" s="270" t="s">
        <v>799</v>
      </c>
      <c r="C81" s="238"/>
    </row>
    <row r="82" spans="2:3">
      <c r="B82" s="273" t="s">
        <v>800</v>
      </c>
      <c r="C82" s="275">
        <f ca="1">1-C83</f>
        <v>0.84899999999999998</v>
      </c>
    </row>
    <row r="83" spans="2:3">
      <c r="B83" s="273" t="s">
        <v>801</v>
      </c>
      <c r="C83" s="274">
        <f ca="1">ROUND(C13/C40,3)</f>
        <v>0.151</v>
      </c>
    </row>
  </sheetData>
  <sheetProtection formatCells="0" formatColumns="0" formatRows="0"/>
  <mergeCells count="3">
    <mergeCell ref="B6:B9"/>
    <mergeCell ref="I6:I9"/>
    <mergeCell ref="K53:L53"/>
  </mergeCells>
  <phoneticPr fontId="134" type="noConversion"/>
  <conditionalFormatting sqref="K55 K60">
    <cfRule type="expression" dxfId="163" priority="4">
      <formula>$L$48&gt;$J$51</formula>
    </cfRule>
  </conditionalFormatting>
  <conditionalFormatting sqref="I55 I60">
    <cfRule type="expression" dxfId="162" priority="5">
      <formula>$J$51&gt;$L$48</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4">
    <cfRule type="expression" dxfId="15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6" zoomScale="85" zoomScaleNormal="80" zoomScaleSheetLayoutView="85" workbookViewId="0">
      <selection activeCell="D37" sqref="D37"/>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1924</v>
      </c>
      <c r="B1" s="197"/>
      <c r="C1" s="201" t="s">
        <v>1925</v>
      </c>
      <c r="D1" s="342">
        <f>SUM(D33:D34,D37:D42)</f>
        <v>17280.400000000001</v>
      </c>
      <c r="E1" s="1995"/>
      <c r="F1" s="1995"/>
      <c r="G1" s="1995"/>
      <c r="H1" s="1995"/>
      <c r="I1" s="1995"/>
      <c r="J1" s="1995"/>
      <c r="K1" s="1119"/>
      <c r="L1" s="1996" t="s">
        <v>1926</v>
      </c>
      <c r="M1" s="863">
        <f>SUMPRODUCT((区片价!B5:B9=I2)*(区片价!C3:G3=E2)*(区片价!C5:G9))</f>
        <v>0</v>
      </c>
      <c r="N1" s="866">
        <f>SUMPRODUCT((因素修正幅度!B5:B9=I2)*(因素修正幅度!C3:G3=E2)*(因素修正幅度!C5:G9))</f>
        <v>0</v>
      </c>
      <c r="O1" s="1997"/>
      <c r="P1" s="1997"/>
      <c r="Q1" s="1119"/>
      <c r="R1" s="1212" t="s">
        <v>1927</v>
      </c>
      <c r="S1" s="1212" t="s">
        <v>1928</v>
      </c>
      <c r="T1" s="1212" t="s">
        <v>1929</v>
      </c>
      <c r="U1" s="1212" t="s">
        <v>1930</v>
      </c>
      <c r="V1" s="1212" t="s">
        <v>1931</v>
      </c>
      <c r="W1" s="1216"/>
      <c r="X1" s="1216"/>
      <c r="Y1" s="1216"/>
      <c r="Z1" s="1216"/>
      <c r="AA1" s="1216"/>
      <c r="AB1" s="1216"/>
      <c r="AC1" s="1217"/>
      <c r="AD1" s="1218"/>
      <c r="AE1" s="1218"/>
      <c r="AF1" s="1218"/>
      <c r="AG1" s="1218"/>
      <c r="AH1" s="1218"/>
      <c r="AI1" s="1218"/>
      <c r="AJ1" s="1219"/>
    </row>
    <row r="2" spans="1:36" ht="15.75">
      <c r="A2" s="201" t="s">
        <v>1932</v>
      </c>
      <c r="B2" s="204">
        <f>C30</f>
        <v>65195</v>
      </c>
      <c r="C2" s="1999" t="s">
        <v>1933</v>
      </c>
      <c r="D2" s="2000" t="s">
        <v>1934</v>
      </c>
      <c r="E2" s="3422" t="s">
        <v>21</v>
      </c>
      <c r="F2" s="2000" t="s">
        <v>1935</v>
      </c>
      <c r="G2" s="2001" t="str">
        <f>IF(E2="商业",项目基本情况!B37,IF(E2="办公",项目基本情况!C37,IF(E2="住宅",项目基本情况!D37,IF(E2="工业",项目基本情况!E37,项目基本情况!F37))))</f>
        <v>二级</v>
      </c>
      <c r="H2" s="2000" t="s">
        <v>1936</v>
      </c>
      <c r="I2" s="2001" t="str">
        <f>IF(E2="商业",项目基本情况!B38,IF(E2="办公",项目基本情况!C38,IF(E2="住宅",项目基本情况!D38,IF(E2="工业",项目基本情况!E38,项目基本情况!F38))))</f>
        <v>Ⅱ—15</v>
      </c>
      <c r="J2" s="2002"/>
      <c r="K2" s="1119"/>
      <c r="L2" s="2003" t="s">
        <v>1937</v>
      </c>
      <c r="M2" s="864">
        <f>SUMPRODUCT((区片价!B10:B29=I2)*(区片价!C3:G3=E2)*(区片价!C10:G29))</f>
        <v>32260</v>
      </c>
      <c r="N2" s="866">
        <f>SUMPRODUCT((因素修正幅度!B10:B29=I2)*(因素修正幅度!C3:G3=E2)*(因素修正幅度!C10:G29))</f>
        <v>0.1</v>
      </c>
      <c r="O2" s="1119"/>
      <c r="P2" s="1119"/>
      <c r="Q2" s="1119"/>
      <c r="R2" s="1212">
        <v>1</v>
      </c>
      <c r="S2" s="3361">
        <f>ROUND(SUMPRODUCT((B106:B110=R2)*(C105:N105=G2)*(C106:N110)),4)</f>
        <v>1.5206</v>
      </c>
      <c r="T2" s="3361">
        <f t="shared" ref="T2:T16" si="0">ROUND($C$5*$C$22*$C$23*$C$24*S2*$C$28,0)</f>
        <v>57370</v>
      </c>
      <c r="U2" s="1213"/>
      <c r="V2" s="3361">
        <f>ROUND(T2*U2/10000,0)</f>
        <v>0</v>
      </c>
      <c r="W2" s="1216"/>
      <c r="X2" s="1216"/>
      <c r="Y2" s="1216"/>
      <c r="Z2" s="1216"/>
      <c r="AA2" s="1216"/>
      <c r="AB2" s="1216"/>
      <c r="AC2" s="1217"/>
      <c r="AD2" s="1218"/>
      <c r="AE2" s="1218"/>
      <c r="AF2" s="1218"/>
      <c r="AG2" s="1218"/>
      <c r="AH2" s="1218"/>
      <c r="AI2" s="1218"/>
      <c r="AJ2" s="1219"/>
    </row>
    <row r="3" spans="1:36" ht="15.75">
      <c r="A3" s="203" t="s">
        <v>1938</v>
      </c>
      <c r="B3" s="204">
        <f>ROUND(B2*10000/D1,0)</f>
        <v>37728</v>
      </c>
      <c r="C3" s="1999" t="s">
        <v>1939</v>
      </c>
      <c r="D3" s="2000" t="s">
        <v>1940</v>
      </c>
      <c r="E3" s="3420" t="s">
        <v>3549</v>
      </c>
      <c r="F3" s="2004" t="s">
        <v>3550</v>
      </c>
      <c r="G3" s="752">
        <f>IF(F3="宗地容积率",'数据-汇总表'!I4,IF(F3="估价对象容积率",'数据-汇总表'!I6,'数据-汇总表'!I7))</f>
        <v>3.5</v>
      </c>
      <c r="H3" s="170" t="s">
        <v>1941</v>
      </c>
      <c r="I3" s="775"/>
      <c r="J3" s="2002" t="s">
        <v>1942</v>
      </c>
      <c r="K3" s="1119"/>
      <c r="L3" s="2003" t="s">
        <v>1943</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1.2072000000000001</v>
      </c>
      <c r="T3" s="3361">
        <f t="shared" si="0"/>
        <v>45546</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860"/>
      <c r="B4" s="3861"/>
      <c r="C4" s="3861"/>
      <c r="D4" s="3862"/>
      <c r="E4" s="3862"/>
      <c r="F4" s="3862"/>
      <c r="G4" s="3862"/>
      <c r="H4" s="3862"/>
      <c r="I4" s="3862"/>
      <c r="J4" s="3863"/>
      <c r="K4" s="1119"/>
      <c r="L4" s="2003" t="s">
        <v>1944</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1.0430999999999999</v>
      </c>
      <c r="T4" s="3361">
        <f t="shared" si="0"/>
        <v>39354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1945</v>
      </c>
      <c r="C5" s="753">
        <f>ROUND(IF(E2="商业",C6*C7*C17+C20,(IF(E2="住宅",C6*C13*C17+C20,IF(E2="办公",C6*C12*C17+C20,C6+C20)))),0)</f>
        <v>33856</v>
      </c>
      <c r="D5" s="1339">
        <f>ROUND(C6*C17+C20,0)</f>
        <v>32243</v>
      </c>
      <c r="E5" s="1339"/>
      <c r="F5" s="2007"/>
      <c r="G5" s="2008"/>
      <c r="H5" s="2008"/>
      <c r="I5" s="2008"/>
      <c r="J5" s="2009"/>
      <c r="K5" s="2010"/>
      <c r="L5" s="2003" t="s">
        <v>1946</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0.94389999999999996</v>
      </c>
      <c r="T5" s="3361">
        <f t="shared" si="0"/>
        <v>35612</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1947</v>
      </c>
      <c r="B6" s="2016" t="s">
        <v>1948</v>
      </c>
      <c r="C6" s="754">
        <f>SUMIF(L1:L12,G2,M1:M12)</f>
        <v>32260</v>
      </c>
      <c r="D6" s="2017"/>
      <c r="E6" s="2018"/>
      <c r="F6" s="2018"/>
      <c r="G6" s="2019"/>
      <c r="H6" s="2019"/>
      <c r="I6" s="2019"/>
      <c r="J6" s="2020"/>
      <c r="K6" s="1384"/>
      <c r="L6" s="2003" t="s">
        <v>1949</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0.89959999999999996</v>
      </c>
      <c r="T6" s="3361">
        <f t="shared" si="0"/>
        <v>33940</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3238</v>
      </c>
      <c r="B7" s="3562" t="s">
        <v>1950</v>
      </c>
      <c r="C7" s="755" t="e">
        <f>IF(C8="不临65条商业街",1,ROUND(1+(1.6*E8+1.2*E9+0.8*E10+0.4*E11)*C9,4))</f>
        <v>#DIV/0!</v>
      </c>
      <c r="D7" s="2022" t="s">
        <v>1951</v>
      </c>
      <c r="E7" s="776"/>
      <c r="F7" s="2023"/>
      <c r="G7" s="2024"/>
      <c r="H7" s="2024"/>
      <c r="I7" s="2024"/>
      <c r="J7" s="2025"/>
      <c r="K7" s="1384"/>
      <c r="L7" s="2003" t="s">
        <v>1952</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3571" t="s">
        <v>1953</v>
      </c>
      <c r="X7" s="1214" t="str">
        <f>G2</f>
        <v>二级</v>
      </c>
      <c r="Y7" s="1214" t="s">
        <v>1954</v>
      </c>
      <c r="Z7" s="1215">
        <f>G3</f>
        <v>3.5</v>
      </c>
      <c r="AA7" s="1216"/>
      <c r="AB7" s="1216"/>
      <c r="AC7" s="1217"/>
      <c r="AD7" s="1218"/>
      <c r="AE7" s="1218"/>
      <c r="AF7" s="1218"/>
      <c r="AG7" s="1218"/>
      <c r="AH7" s="1218"/>
      <c r="AI7" s="1218"/>
      <c r="AJ7" s="1219"/>
    </row>
    <row r="8" spans="1:36" ht="15">
      <c r="A8" s="3299"/>
      <c r="B8" s="170" t="s">
        <v>1955</v>
      </c>
      <c r="C8" s="2026"/>
      <c r="D8" s="756" t="s">
        <v>112</v>
      </c>
      <c r="E8" s="757" t="e">
        <f>ROUND(C11/E7,4)</f>
        <v>#DIV/0!</v>
      </c>
      <c r="F8" s="2027" t="s">
        <v>1956</v>
      </c>
      <c r="G8" s="2028"/>
      <c r="H8" s="2028"/>
      <c r="I8" s="2028"/>
      <c r="J8" s="2029"/>
      <c r="K8" s="1119"/>
      <c r="L8" s="2003" t="s">
        <v>1957</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857" t="s">
        <v>1958</v>
      </c>
      <c r="X8" s="3858"/>
      <c r="Y8" s="1220" t="s">
        <v>1959</v>
      </c>
      <c r="Z8" s="1220" t="s">
        <v>1960</v>
      </c>
      <c r="AA8" s="1220" t="s">
        <v>1961</v>
      </c>
      <c r="AB8" s="1220" t="s">
        <v>1962</v>
      </c>
      <c r="AC8" s="1220" t="s">
        <v>1963</v>
      </c>
      <c r="AD8" s="1220" t="s">
        <v>1964</v>
      </c>
      <c r="AE8" s="1220" t="s">
        <v>1965</v>
      </c>
      <c r="AF8" s="1220" t="s">
        <v>1966</v>
      </c>
      <c r="AG8" s="1220" t="s">
        <v>1967</v>
      </c>
      <c r="AH8" s="1220" t="s">
        <v>1968</v>
      </c>
      <c r="AI8" s="1220" t="s">
        <v>1969</v>
      </c>
      <c r="AJ8" s="1220" t="s">
        <v>1970</v>
      </c>
    </row>
    <row r="9" spans="1:36" ht="15">
      <c r="A9" s="3299"/>
      <c r="B9" s="170" t="s">
        <v>1971</v>
      </c>
      <c r="C9" s="758">
        <f>SUMIF(修正!C71:C138,C8,修正!E71:E138)</f>
        <v>0</v>
      </c>
      <c r="D9" s="171" t="s">
        <v>113</v>
      </c>
      <c r="E9" s="171" t="e">
        <f>ROUND(C11/E7,4)</f>
        <v>#DIV/0!</v>
      </c>
      <c r="F9" s="2027" t="s">
        <v>1972</v>
      </c>
      <c r="G9" s="2028"/>
      <c r="H9" s="2028"/>
      <c r="I9" s="2028"/>
      <c r="J9" s="2029"/>
      <c r="K9" s="1119"/>
      <c r="L9" s="2003" t="s">
        <v>1973</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859"/>
      <c r="X9" s="3362" t="s">
        <v>3269</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1974</v>
      </c>
      <c r="C10" s="171">
        <f>SUMIF(修正!C71:C138,C8,修正!F71:F138)</f>
        <v>0</v>
      </c>
      <c r="D10" s="171" t="s">
        <v>114</v>
      </c>
      <c r="E10" s="171" t="e">
        <f>ROUND(C11/E7,4)</f>
        <v>#DIV/0!</v>
      </c>
      <c r="F10" s="2027" t="s">
        <v>1975</v>
      </c>
      <c r="G10" s="2028"/>
      <c r="H10" s="2028"/>
      <c r="I10" s="2028"/>
      <c r="J10" s="2029"/>
      <c r="K10" s="1119"/>
      <c r="L10" s="2003" t="s">
        <v>1976</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859"/>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1977</v>
      </c>
      <c r="C11" s="759">
        <f>C10/4</f>
        <v>0</v>
      </c>
      <c r="D11" s="759" t="s">
        <v>115</v>
      </c>
      <c r="E11" s="759" t="e">
        <f>ROUND(C11/E7,4)</f>
        <v>#DIV/0!</v>
      </c>
      <c r="F11" s="2031" t="s">
        <v>1978</v>
      </c>
      <c r="G11" s="2032"/>
      <c r="H11" s="2032"/>
      <c r="I11" s="2032"/>
      <c r="J11" s="2033"/>
      <c r="K11" s="1119"/>
      <c r="L11" s="2003" t="s">
        <v>1979</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3239</v>
      </c>
      <c r="B12" s="3305" t="s">
        <v>3240</v>
      </c>
      <c r="C12" s="3306">
        <v>1.05</v>
      </c>
      <c r="D12" s="3307" t="s">
        <v>3241</v>
      </c>
      <c r="E12" s="3308" t="s">
        <v>3242</v>
      </c>
      <c r="F12" s="3309"/>
      <c r="G12" s="3310"/>
      <c r="H12" s="3310"/>
      <c r="I12" s="3310"/>
      <c r="J12" s="3311"/>
      <c r="K12" s="1119"/>
      <c r="L12" s="2039" t="s">
        <v>1982</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3243</v>
      </c>
      <c r="B13" s="2034" t="s">
        <v>1980</v>
      </c>
      <c r="C13" s="755">
        <f>ROUND(C16*D16*E16*F16*G16*H16*I16*J16,4)</f>
        <v>0</v>
      </c>
      <c r="D13" s="2035" t="s">
        <v>1981</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3557" t="s">
        <v>1983</v>
      </c>
      <c r="C14" s="2041" t="s">
        <v>1984</v>
      </c>
      <c r="D14" s="1350" t="s">
        <v>1985</v>
      </c>
      <c r="E14" s="27" t="s">
        <v>1986</v>
      </c>
      <c r="F14" s="3312" t="s">
        <v>3244</v>
      </c>
      <c r="G14" s="3312" t="s">
        <v>3244</v>
      </c>
      <c r="H14" s="3312" t="s">
        <v>3244</v>
      </c>
      <c r="I14" s="3312" t="s">
        <v>3244</v>
      </c>
      <c r="J14" s="3312" t="s">
        <v>3244</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3558"/>
      <c r="C15" s="2043"/>
      <c r="D15" s="2044"/>
      <c r="E15" s="2045"/>
      <c r="F15" s="3313" t="s">
        <v>3245</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1987</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3246</v>
      </c>
      <c r="B17" s="3321" t="s">
        <v>3247</v>
      </c>
      <c r="C17" s="3331">
        <f>ROUND(IF(OR(E2="工业",E2="公共服务"),1,IF(AND(E18=0,E19=0),1,IF(AND(E18=J24,E19=G19),0.8,IF(E19=0,1+E17*(-0.2),1+E17*G17*(-0.2))))),4)</f>
        <v>1</v>
      </c>
      <c r="D17" s="3322" t="s">
        <v>3248</v>
      </c>
      <c r="E17" s="3331">
        <f>ROUND(G18/I18,2)</f>
        <v>0</v>
      </c>
      <c r="F17" s="3322" t="s">
        <v>3251</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556"/>
      <c r="C18" s="3328"/>
      <c r="D18" s="3323" t="s">
        <v>3249</v>
      </c>
      <c r="E18" s="3329"/>
      <c r="F18" s="3324" t="s">
        <v>3252</v>
      </c>
      <c r="G18" s="3328">
        <f>ROUND(1-(1/(POWER(1+G24,E18))),4)</f>
        <v>0</v>
      </c>
      <c r="H18" s="3324" t="s">
        <v>3254</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3250</v>
      </c>
      <c r="E19" s="3338"/>
      <c r="F19" s="3339" t="s">
        <v>3253</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864" t="s">
        <v>3255</v>
      </c>
      <c r="B20" s="167" t="s">
        <v>1992</v>
      </c>
      <c r="C20" s="3325">
        <f>ROUND(IF(F21="与级别开发程度一致",0,(G21-E21)/C21),0)</f>
        <v>-17</v>
      </c>
      <c r="D20" s="3341" t="s">
        <v>1996</v>
      </c>
      <c r="E20" s="3342"/>
      <c r="F20" s="3870" t="s">
        <v>1993</v>
      </c>
      <c r="G20" s="3871"/>
      <c r="H20" s="3326" t="s">
        <v>3647</v>
      </c>
      <c r="I20" s="3326" t="s">
        <v>3648</v>
      </c>
      <c r="J20" s="3327" t="s">
        <v>3649</v>
      </c>
      <c r="K20" s="2047" t="s">
        <v>3650</v>
      </c>
      <c r="L20" s="2047" t="s">
        <v>3651</v>
      </c>
      <c r="M20" s="2047" t="s">
        <v>3652</v>
      </c>
      <c r="N20" s="2047"/>
      <c r="O20" s="2048" t="s">
        <v>3653</v>
      </c>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865"/>
      <c r="B21" s="2164" t="s">
        <v>1995</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3654</v>
      </c>
      <c r="G21" s="2157">
        <f>SUM(H21:O21)</f>
        <v>315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30</v>
      </c>
      <c r="L21" s="2165">
        <f>SUMPRODUCT((七通一平=L20)*(修正!B1:M1=G2)*(修正!B8:M16))</f>
        <v>45</v>
      </c>
      <c r="M21" s="2165">
        <f>SUMPRODUCT((七通一平=M20)*(修正!B1:M1=G2)*(修正!B8:M16))</f>
        <v>50</v>
      </c>
      <c r="N21" s="2165">
        <f>SUMPRODUCT((七通一平=N20)*(修正!B1:M1=G2)*(修正!B8:M16))</f>
        <v>0</v>
      </c>
      <c r="O21" s="2167">
        <f>SUMPRODUCT((七通一平=O20)*(修正!B1:M1=G2)*(修正!B8:M16))</f>
        <v>20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1998</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1999</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1.0266</v>
      </c>
      <c r="D23" s="2054" t="s">
        <v>2000</v>
      </c>
      <c r="E23" s="761">
        <v>44197</v>
      </c>
      <c r="F23" s="2054" t="s">
        <v>2001</v>
      </c>
      <c r="G23" s="762">
        <f>'数据-取费表'!B2</f>
        <v>45400</v>
      </c>
      <c r="H23" s="3343" t="s">
        <v>3257</v>
      </c>
      <c r="I23" s="3344" t="str">
        <f>IF(H23="季度增幅（自定义）",SUMIF(N25:N28,E2,O25:O28),"")</f>
        <v/>
      </c>
      <c r="J23" s="3446" t="s">
        <v>3256</v>
      </c>
      <c r="K23" s="1125"/>
      <c r="L23" s="2055" t="s">
        <v>2002</v>
      </c>
      <c r="M23" s="1328">
        <f>ROUND(SUMIF(地价!B2:G2,E2,地价!B16:G16),0)</f>
        <v>350</v>
      </c>
      <c r="N23" s="2056" t="s">
        <v>2003</v>
      </c>
      <c r="O23" s="763">
        <f>ROUNDDOWN(DATEDIF(E23,G23,"M")/3,0)</f>
        <v>13</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2004</v>
      </c>
      <c r="C24" s="764">
        <f>ROUND(POWER(1+G24,J24-I24)*(POWER(1+G24,I24)-1)/(POWER(1+G24,J24)-1),4)</f>
        <v>1</v>
      </c>
      <c r="D24" s="2060" t="s">
        <v>2005</v>
      </c>
      <c r="E24" s="1335">
        <f>存贷款利率!E24/100</f>
        <v>4.3499999999999997E-2</v>
      </c>
      <c r="F24" s="2060" t="s">
        <v>1997</v>
      </c>
      <c r="G24" s="768">
        <f>SUMIF(M30:Q30,E2,M33:Q33)</f>
        <v>5.5E-2</v>
      </c>
      <c r="H24" s="2060" t="s">
        <v>2006</v>
      </c>
      <c r="I24" s="3581">
        <v>50</v>
      </c>
      <c r="J24" s="770">
        <f>IF(E2="住宅",70,IF(E2="商业",40,50))</f>
        <v>50</v>
      </c>
      <c r="K24" s="1125"/>
      <c r="L24" s="2061" t="s">
        <v>2007</v>
      </c>
      <c r="M24" s="1329">
        <f>ROUND(SUMPRODUCT((地价!A4:A16=YEAR(G23)&amp;"-"&amp;ROUNDUP(MONTH(G23)/3,0))*(地价!B2:G2=E2)*(地价!B4:G16)),0)</f>
        <v>0</v>
      </c>
      <c r="N24" s="2062" t="s">
        <v>2008</v>
      </c>
      <c r="O24" s="2063" t="s">
        <v>2009</v>
      </c>
      <c r="P24" s="2064" t="s">
        <v>2010</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3336</v>
      </c>
      <c r="C25" s="3576">
        <f>IF(B25="容积率修正",IF(G3&lt;10,D26,J26),C27)</f>
        <v>1</v>
      </c>
      <c r="D25" s="2067"/>
      <c r="E25" s="2067"/>
      <c r="F25" s="2067"/>
      <c r="G25" s="2067"/>
      <c r="H25" s="2067"/>
      <c r="I25" s="2067"/>
      <c r="J25" s="2068"/>
      <c r="K25" s="1125"/>
      <c r="L25" s="2788"/>
      <c r="M25" s="2788"/>
      <c r="N25" s="2069" t="s">
        <v>2011</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2012</v>
      </c>
      <c r="B26" s="2070" t="s">
        <v>2013</v>
      </c>
      <c r="C26" s="3345" t="s">
        <v>3258</v>
      </c>
      <c r="D26" s="3575">
        <f>IF(E26=G26,F26,IF(G3&lt;10,ROUND(F26+(H26-F26)*(G3-E26)/(G26-E26),4),"——"))</f>
        <v>1</v>
      </c>
      <c r="E26" s="752">
        <f>ROUNDDOWN(G3,1)</f>
        <v>3.5</v>
      </c>
      <c r="F26" s="357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3.5</v>
      </c>
      <c r="H26" s="357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3259</v>
      </c>
      <c r="J26" s="772" t="str">
        <f>IF(G3&gt;=10,D115,"——")</f>
        <v>——</v>
      </c>
      <c r="K26" s="1125"/>
      <c r="L26" s="2788"/>
      <c r="M26" s="2788"/>
      <c r="N26" s="2069" t="s">
        <v>2014</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2015</v>
      </c>
      <c r="B27" s="2071" t="s">
        <v>2016</v>
      </c>
      <c r="C27" s="841">
        <f>ROUND(IF(I3&lt;6,SUMPRODUCT((B106:B110=I3)*(C105:N105=G2)*(C106:N110)),SUMIF(C105:N105,G2,C112:N112)),4)</f>
        <v>0</v>
      </c>
      <c r="D27" s="2046"/>
      <c r="E27" s="2046"/>
      <c r="F27" s="2072"/>
      <c r="G27" s="2073"/>
      <c r="H27" s="2074"/>
      <c r="I27" s="2075"/>
      <c r="J27" s="2076"/>
      <c r="K27" s="1119"/>
      <c r="L27" s="1997"/>
      <c r="M27" s="1997"/>
      <c r="N27" s="2069" t="s">
        <v>2017</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2018</v>
      </c>
      <c r="C28" s="760">
        <f>SUMIF(A47:A101,E2,B47:B101)</f>
        <v>1.0854999999999999</v>
      </c>
      <c r="D28" s="2052"/>
      <c r="E28" s="2077"/>
      <c r="F28" s="2077"/>
      <c r="G28" s="2077"/>
      <c r="H28" s="2077"/>
      <c r="I28" s="2077"/>
      <c r="J28" s="2078"/>
      <c r="K28" s="1125"/>
      <c r="L28" s="2788"/>
      <c r="M28" s="2788"/>
      <c r="N28" s="2079" t="s">
        <v>2019</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2020</v>
      </c>
      <c r="C29" s="765"/>
      <c r="D29" s="2024"/>
      <c r="E29" s="2024"/>
      <c r="F29" s="2081"/>
      <c r="G29" s="2024"/>
      <c r="H29" s="2024"/>
      <c r="I29" s="2024"/>
      <c r="J29" s="2025"/>
      <c r="K29" s="1119"/>
      <c r="L29" s="1997"/>
      <c r="M29" s="1997"/>
      <c r="N29" s="2785" t="s">
        <v>2021</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2022</v>
      </c>
      <c r="C30" s="2321">
        <f>IF(B25="容积率修正",E33+SUM(E37:E42),SUM(V2:V16)+SUM(E37:E42))</f>
        <v>65195</v>
      </c>
      <c r="D30" s="2083"/>
      <c r="E30" s="2046"/>
      <c r="F30" s="2084"/>
      <c r="G30" s="2046"/>
      <c r="H30" s="2046"/>
      <c r="I30" s="2046"/>
      <c r="J30" s="2085"/>
      <c r="K30" s="1119"/>
      <c r="L30" s="3351" t="s">
        <v>1934</v>
      </c>
      <c r="M30" s="3352" t="s">
        <v>1988</v>
      </c>
      <c r="N30" s="3352" t="s">
        <v>1989</v>
      </c>
      <c r="O30" s="3352" t="s">
        <v>1990</v>
      </c>
      <c r="P30" s="3352" t="s">
        <v>1991</v>
      </c>
      <c r="Q30" s="3355"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2023</v>
      </c>
      <c r="C31" s="766">
        <f>E34+SUM(I37:I42)</f>
        <v>0</v>
      </c>
      <c r="D31" s="2087"/>
      <c r="E31" s="2088"/>
      <c r="F31" s="2089"/>
      <c r="G31" s="2088"/>
      <c r="H31" s="2088"/>
      <c r="I31" s="2088"/>
      <c r="J31" s="2090"/>
      <c r="K31" s="1119"/>
      <c r="L31" s="3353" t="s">
        <v>1994</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2024</v>
      </c>
      <c r="C32" s="2093" t="s">
        <v>2025</v>
      </c>
      <c r="D32" s="2093" t="s">
        <v>2026</v>
      </c>
      <c r="E32" s="2094" t="s">
        <v>2027</v>
      </c>
      <c r="F32" s="2095"/>
      <c r="G32" s="2037"/>
      <c r="H32" s="2037"/>
      <c r="I32" s="2037"/>
      <c r="J32" s="2038"/>
      <c r="K32" s="1119"/>
      <c r="L32" s="3354" t="s">
        <v>1997</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2028</v>
      </c>
      <c r="C33" s="175">
        <f>ROUND(C5*C22*C23*C24*C25*C28,0)</f>
        <v>37728</v>
      </c>
      <c r="D33" s="2098">
        <f>'数据-汇总表'!F20</f>
        <v>17280.400000000001</v>
      </c>
      <c r="E33" s="773">
        <f>ROUND(C33*D33/10000,0)</f>
        <v>65195</v>
      </c>
      <c r="F33" s="3346" t="s">
        <v>3261</v>
      </c>
      <c r="G33" s="2099"/>
      <c r="H33" s="2099"/>
      <c r="I33" s="2099"/>
      <c r="J33" s="2100"/>
      <c r="K33" s="1119"/>
      <c r="L33" s="3349" t="s">
        <v>3264</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2029</v>
      </c>
      <c r="C34" s="187">
        <f>ROUND(IF(E2="工业",C33*M42,IF(B25="楼层修正",SUM(V2:V16)*M41*10000/D34,C33*M41)),0)</f>
        <v>9432</v>
      </c>
      <c r="D34" s="2103"/>
      <c r="E34" s="773">
        <f>ROUND(IF(B25="楼层修正",SUM(V2:V16)*M40,C34*D34/10000),0)</f>
        <v>0</v>
      </c>
      <c r="F34" s="2104" t="s">
        <v>2030</v>
      </c>
      <c r="G34" s="2105"/>
      <c r="H34" s="2105"/>
      <c r="I34" s="2105"/>
      <c r="J34" s="2106"/>
      <c r="K34" s="1119"/>
      <c r="L34" s="3349" t="s">
        <v>3265</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2031</v>
      </c>
      <c r="C35" s="3347" t="s">
        <v>3262</v>
      </c>
      <c r="D35" s="2037"/>
      <c r="E35" s="2109"/>
      <c r="F35" s="2109"/>
      <c r="G35" s="2035" t="s">
        <v>2032</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2025</v>
      </c>
      <c r="D36" s="447" t="s">
        <v>2026</v>
      </c>
      <c r="E36" s="447" t="s">
        <v>2027</v>
      </c>
      <c r="F36" s="342" t="s">
        <v>2033</v>
      </c>
      <c r="G36" s="2112" t="s">
        <v>2025</v>
      </c>
      <c r="H36" s="2112" t="s">
        <v>2026</v>
      </c>
      <c r="I36" s="2112" t="s">
        <v>2027</v>
      </c>
      <c r="J36" s="243"/>
      <c r="K36" s="3357" t="s">
        <v>3266</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68"/>
      <c r="B37" s="2113" t="s">
        <v>2034</v>
      </c>
      <c r="C37" s="175">
        <f>ROUND(D5*C22*C23*C24*C28*F37,0)</f>
        <v>25152</v>
      </c>
      <c r="D37" s="2098"/>
      <c r="E37" s="171">
        <f>ROUND(C37*D37/10000,0)</f>
        <v>0</v>
      </c>
      <c r="F37" s="171">
        <f>SUMIF(修正!A57:A68,G2,修正!B57:B68)</f>
        <v>0.7</v>
      </c>
      <c r="G37" s="171">
        <f>ROUND(IF(E2="工业",C37*$M$42,C37*$M$41),0)</f>
        <v>6288</v>
      </c>
      <c r="H37" s="171">
        <f>D37</f>
        <v>0</v>
      </c>
      <c r="I37" s="171">
        <f>ROUND(G37*H37/10000,0)</f>
        <v>0</v>
      </c>
      <c r="J37" s="3012"/>
      <c r="K37" s="3359" t="s">
        <v>3267</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69"/>
      <c r="B38" s="2041" t="s">
        <v>2035</v>
      </c>
      <c r="C38" s="175">
        <f>ROUND(D5*C22*C23*C24*C28*F38,0)</f>
        <v>14372</v>
      </c>
      <c r="D38" s="2098"/>
      <c r="E38" s="171">
        <f t="shared" ref="E38:E42" si="4">ROUND(C38*D38/10000,0)</f>
        <v>0</v>
      </c>
      <c r="F38" s="171">
        <f>SUMIF(修正!A57:A68,G2,修正!C57:C68)</f>
        <v>0.4</v>
      </c>
      <c r="G38" s="171">
        <f>ROUND(IF(E2="工业",C38*$M$42,C38*$M$41),0)</f>
        <v>3593</v>
      </c>
      <c r="H38" s="171">
        <f t="shared" ref="H38:H42" si="5">D38</f>
        <v>0</v>
      </c>
      <c r="I38" s="171">
        <f t="shared" ref="I38:I42" si="6">ROUND(G38*H38/10000,0)</f>
        <v>0</v>
      </c>
      <c r="J38" s="3574"/>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869"/>
      <c r="B39" s="2041" t="s">
        <v>3260</v>
      </c>
      <c r="C39" s="175">
        <f>ROUND(D5*C22*C23*C24*C28*F39,0)</f>
        <v>10779</v>
      </c>
      <c r="D39" s="2098"/>
      <c r="E39" s="171">
        <f t="shared" si="4"/>
        <v>0</v>
      </c>
      <c r="F39" s="171">
        <f>SUMIF(修正!A57:A68,G2,修正!D57:D68)</f>
        <v>0.3</v>
      </c>
      <c r="G39" s="171">
        <f>ROUND(IF(E2="工业",C39*$M$42,C39*$M$41),0)</f>
        <v>2695</v>
      </c>
      <c r="H39" s="171">
        <f t="shared" si="5"/>
        <v>0</v>
      </c>
      <c r="I39" s="171">
        <f t="shared" si="6"/>
        <v>0</v>
      </c>
      <c r="J39" s="3574"/>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2036</v>
      </c>
      <c r="C40" s="171">
        <f>ROUND(D5*C22*C23*C24*C28*F40,0)</f>
        <v>10779</v>
      </c>
      <c r="D40" s="2098"/>
      <c r="E40" s="171">
        <f t="shared" si="4"/>
        <v>0</v>
      </c>
      <c r="F40" s="175">
        <f>SUMIF(修正!A57:A68,G2,修正!E57:E68)</f>
        <v>0.3</v>
      </c>
      <c r="G40" s="171">
        <f>ROUND(IF(E2="工业",C40*$M$42,C40*$M$41),0)</f>
        <v>2695</v>
      </c>
      <c r="H40" s="171">
        <f t="shared" si="5"/>
        <v>0</v>
      </c>
      <c r="I40" s="171">
        <f t="shared" si="6"/>
        <v>0</v>
      </c>
      <c r="J40" s="2114"/>
      <c r="L40" s="2116" t="s">
        <v>2037</v>
      </c>
      <c r="M40" s="2117"/>
      <c r="Z40" s="1120"/>
      <c r="AA40" s="1120"/>
      <c r="AB40" s="1120"/>
      <c r="AC40" s="1120"/>
      <c r="AD40" s="1120"/>
      <c r="AE40" s="1120"/>
      <c r="AF40" s="1120"/>
      <c r="AG40" s="1120"/>
      <c r="AH40" s="1120"/>
      <c r="AI40" s="1120"/>
      <c r="AJ40" s="1120"/>
    </row>
    <row r="41" spans="1:37" s="1119" customFormat="1">
      <c r="A41" s="2115"/>
      <c r="B41" s="2041" t="s">
        <v>2038</v>
      </c>
      <c r="C41" s="171">
        <f>ROUND(D5*C22*C23*C44*C28*F41,0)</f>
        <v>0</v>
      </c>
      <c r="D41" s="2098"/>
      <c r="E41" s="171">
        <f t="shared" si="4"/>
        <v>0</v>
      </c>
      <c r="F41" s="175">
        <f>SUMIF(修正!A57:A68,G2,修正!F57:F68)</f>
        <v>0.3</v>
      </c>
      <c r="G41" s="171">
        <f>ROUND(IF(E2="工业",C41*$M$42,C41*$M$41),0)</f>
        <v>0</v>
      </c>
      <c r="H41" s="171">
        <f t="shared" si="5"/>
        <v>0</v>
      </c>
      <c r="I41" s="171">
        <f t="shared" si="6"/>
        <v>0</v>
      </c>
      <c r="J41" s="2114"/>
      <c r="L41" s="3360" t="s">
        <v>3268</v>
      </c>
      <c r="M41" s="2118">
        <v>0.25</v>
      </c>
      <c r="Z41" s="1120"/>
      <c r="AA41" s="1120"/>
      <c r="AB41" s="1120"/>
      <c r="AC41" s="1120"/>
      <c r="AD41" s="1120"/>
      <c r="AE41" s="1120"/>
      <c r="AF41" s="1120"/>
      <c r="AG41" s="1120"/>
      <c r="AH41" s="1120"/>
      <c r="AI41" s="1120"/>
      <c r="AJ41" s="1120"/>
    </row>
    <row r="42" spans="1:37" s="1119" customFormat="1" ht="13.5" thickBot="1">
      <c r="A42" s="2101"/>
      <c r="B42" s="2119" t="s">
        <v>2039</v>
      </c>
      <c r="C42" s="187">
        <f>ROUND(D5*C22*C23*C44*C28*F42,0)</f>
        <v>0</v>
      </c>
      <c r="D42" s="2103"/>
      <c r="E42" s="187">
        <f t="shared" si="4"/>
        <v>0</v>
      </c>
      <c r="F42" s="767">
        <f>SUMIF(修正!A57:A68,G2,修正!G57:G68)</f>
        <v>0.2</v>
      </c>
      <c r="G42" s="187">
        <f>ROUND(IF(E2="工业",C42*$M$42,C42*$M$41),0)</f>
        <v>0</v>
      </c>
      <c r="H42" s="187">
        <f t="shared" si="5"/>
        <v>0</v>
      </c>
      <c r="I42" s="187">
        <f t="shared" si="6"/>
        <v>0</v>
      </c>
      <c r="J42" s="2120"/>
      <c r="L42" s="2121" t="s">
        <v>1991</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2119</v>
      </c>
      <c r="C44" s="342">
        <f>ROUND(POWER(1+E44,H44-G44)*(POWER(1+E44,G44)-1)/(POWER(1+E44,H44)-1),4)</f>
        <v>0</v>
      </c>
      <c r="D44" s="171" t="s">
        <v>1997</v>
      </c>
      <c r="E44" s="2153">
        <f>G24</f>
        <v>5.5E-2</v>
      </c>
      <c r="F44" s="171" t="s">
        <v>2006</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2040</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75" hidden="1" thickBot="1">
      <c r="A48" s="2126" t="s">
        <v>2041</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5.5" hidden="1" thickBot="1">
      <c r="A49" s="2130" t="s">
        <v>2042</v>
      </c>
      <c r="B49" s="1351" t="s">
        <v>2043</v>
      </c>
      <c r="C49" s="1351" t="s">
        <v>2044</v>
      </c>
      <c r="D49" s="1351" t="s">
        <v>2045</v>
      </c>
      <c r="E49" s="743" t="s">
        <v>2046</v>
      </c>
      <c r="F49" s="2131" t="s">
        <v>2047</v>
      </c>
      <c r="G49" s="1351" t="s">
        <v>310</v>
      </c>
      <c r="H49" s="2132" t="s">
        <v>2048</v>
      </c>
      <c r="I49" s="1351" t="s">
        <v>2049</v>
      </c>
      <c r="J49" s="552" t="s">
        <v>1719</v>
      </c>
      <c r="K49" s="552" t="s">
        <v>1720</v>
      </c>
      <c r="L49" s="552" t="s">
        <v>1721</v>
      </c>
      <c r="M49" s="552" t="s">
        <v>1722</v>
      </c>
      <c r="N49" s="552" t="s">
        <v>1723</v>
      </c>
      <c r="AA49" s="1120"/>
      <c r="AB49" s="1120"/>
      <c r="AC49" s="1120"/>
      <c r="AD49" s="1120"/>
      <c r="AE49" s="1120"/>
      <c r="AF49" s="1120"/>
      <c r="AG49" s="1120"/>
      <c r="AH49" s="1120"/>
      <c r="AI49" s="1120"/>
      <c r="AJ49" s="1120"/>
      <c r="AK49" s="1120"/>
    </row>
    <row r="50" spans="1:37" s="1119" customFormat="1" ht="39" hidden="1" thickBot="1">
      <c r="A50" s="2130" t="s">
        <v>2050</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9" hidden="1" thickBot="1">
      <c r="A51" s="2130" t="s">
        <v>2051</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75" hidden="1" thickBot="1">
      <c r="A52" s="3369" t="s">
        <v>3270</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7.5" hidden="1" thickBot="1">
      <c r="A53" s="2130" t="s">
        <v>2052</v>
      </c>
      <c r="B53" s="2135" t="s">
        <v>2053</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75" hidden="1" thickBot="1">
      <c r="A54" s="2130" t="s">
        <v>2054</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75" hidden="1" thickBot="1">
      <c r="A55" s="2130" t="s">
        <v>2055</v>
      </c>
      <c r="B55" s="2136" t="s">
        <v>2056</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6.25" hidden="1" thickBot="1">
      <c r="A56" s="2137" t="s">
        <v>2057</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6.25" hidden="1" thickBot="1">
      <c r="A57" s="2137" t="s">
        <v>2058</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8" t="s">
        <v>2059</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2060</v>
      </c>
      <c r="B59" s="2127">
        <f>1+E61</f>
        <v>1.0854999999999999</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2042</v>
      </c>
      <c r="B60" s="1351"/>
      <c r="C60" s="1351" t="s">
        <v>2044</v>
      </c>
      <c r="D60" s="1351" t="s">
        <v>2045</v>
      </c>
      <c r="E60" s="743" t="s">
        <v>2046</v>
      </c>
      <c r="F60" s="2131" t="s">
        <v>2061</v>
      </c>
      <c r="G60" s="1351" t="s">
        <v>310</v>
      </c>
      <c r="H60" s="2132" t="s">
        <v>2048</v>
      </c>
      <c r="I60" s="1351" t="s">
        <v>2049</v>
      </c>
      <c r="J60" s="552" t="s">
        <v>1719</v>
      </c>
      <c r="K60" s="552" t="s">
        <v>1720</v>
      </c>
      <c r="L60" s="552" t="s">
        <v>1721</v>
      </c>
      <c r="M60" s="552" t="s">
        <v>1722</v>
      </c>
      <c r="N60" s="552" t="s">
        <v>1723</v>
      </c>
      <c r="AA60" s="1120"/>
      <c r="AB60" s="1120"/>
      <c r="AC60" s="1120"/>
      <c r="AD60" s="1120"/>
      <c r="AE60" s="1120"/>
      <c r="AF60" s="1120"/>
      <c r="AG60" s="1120"/>
      <c r="AH60" s="1120"/>
      <c r="AI60" s="1120"/>
      <c r="AJ60" s="1120"/>
      <c r="AK60" s="1120"/>
    </row>
    <row r="61" spans="1:37" s="1119" customFormat="1" ht="38.25">
      <c r="A61" s="2130" t="s">
        <v>2062</v>
      </c>
      <c r="B61" s="2133" t="str">
        <f>估价对象房地状况!C17</f>
        <v>估价对象位于XX商圈，周边办公楼项目较多，入驻率高，办公集聚程度较好</v>
      </c>
      <c r="C61" s="2044" t="s">
        <v>3551</v>
      </c>
      <c r="D61" s="1065">
        <f t="shared" ref="D61:D69" si="12">SUMIF($J$60:$N$60,C61,J61:N61)</f>
        <v>2.5000000000000001E-2</v>
      </c>
      <c r="E61" s="744">
        <f>ROUND(SUM(D61:D69),4)</f>
        <v>8.5500000000000007E-2</v>
      </c>
      <c r="F61" s="1814">
        <f>IF(E2="办公",SUMIF(L1:L12,G2,N1:N12),"——")</f>
        <v>0.1</v>
      </c>
      <c r="G61" s="1063">
        <f>H61</f>
        <v>1.2500000000000001E-2</v>
      </c>
      <c r="H61" s="1066">
        <f t="shared" ref="H61:H69" si="13">IFERROR(ROUNDDOWN($F$61*I61/2,4),"——")</f>
        <v>1.2500000000000001E-2</v>
      </c>
      <c r="I61" s="3367">
        <v>0.25</v>
      </c>
      <c r="J61" s="1064">
        <f t="shared" ref="J61:J69" si="14">K61+$G61</f>
        <v>2.5000000000000001E-2</v>
      </c>
      <c r="K61" s="1064">
        <f t="shared" ref="K61:K69" si="15">$L61+$G61</f>
        <v>1.2500000000000001E-2</v>
      </c>
      <c r="L61" s="1064">
        <v>0</v>
      </c>
      <c r="M61" s="1064">
        <f t="shared" ref="M61:N69" si="16">L61-$G61</f>
        <v>-1.2500000000000001E-2</v>
      </c>
      <c r="N61" s="1064">
        <f t="shared" si="16"/>
        <v>-2.5000000000000001E-2</v>
      </c>
      <c r="AA61" s="1120"/>
      <c r="AB61" s="1120"/>
      <c r="AC61" s="1120"/>
      <c r="AD61" s="1120"/>
      <c r="AE61" s="1120"/>
      <c r="AF61" s="1120"/>
      <c r="AG61" s="1120"/>
      <c r="AH61" s="1120"/>
      <c r="AI61" s="1120"/>
      <c r="AJ61" s="1120"/>
      <c r="AK61" s="1120"/>
    </row>
    <row r="62" spans="1:37" s="1119" customFormat="1" ht="38.25">
      <c r="A62" s="2130" t="s">
        <v>2051</v>
      </c>
      <c r="B62" s="2134" t="str">
        <f>估价对象房地状况!C18</f>
        <v>估价对象周边道路状况、公共交通通达情况、停车便捷程度，综合评价交通便捷度较好</v>
      </c>
      <c r="C62" s="2044" t="s">
        <v>3551</v>
      </c>
      <c r="D62" s="1065">
        <f t="shared" si="12"/>
        <v>2.5999999999999999E-2</v>
      </c>
      <c r="E62" s="745"/>
      <c r="F62" s="1814"/>
      <c r="G62" s="1063">
        <f t="shared" ref="G62:G69" si="17">H62</f>
        <v>1.2999999999999999E-2</v>
      </c>
      <c r="H62" s="1066">
        <f t="shared" si="13"/>
        <v>1.2999999999999999E-2</v>
      </c>
      <c r="I62" s="3367">
        <v>0.26</v>
      </c>
      <c r="J62" s="1064">
        <f t="shared" si="14"/>
        <v>2.5999999999999999E-2</v>
      </c>
      <c r="K62" s="1064">
        <f t="shared" si="15"/>
        <v>1.2999999999999999E-2</v>
      </c>
      <c r="L62" s="1064">
        <v>0</v>
      </c>
      <c r="M62" s="1064">
        <f t="shared" si="16"/>
        <v>-1.2999999999999999E-2</v>
      </c>
      <c r="N62" s="1064">
        <f t="shared" si="16"/>
        <v>-2.5999999999999999E-2</v>
      </c>
      <c r="AA62" s="1120"/>
      <c r="AB62" s="1120"/>
      <c r="AC62" s="1120"/>
      <c r="AD62" s="1120"/>
      <c r="AE62" s="1120"/>
      <c r="AF62" s="1120"/>
      <c r="AG62" s="1120"/>
      <c r="AH62" s="1120"/>
      <c r="AI62" s="1120"/>
      <c r="AJ62" s="1120"/>
      <c r="AK62" s="1120"/>
    </row>
    <row r="63" spans="1:37" s="1119" customFormat="1" ht="36">
      <c r="A63" s="3369" t="s">
        <v>3270</v>
      </c>
      <c r="B63" s="2134">
        <f>估价对象房地状况!C19</f>
        <v>0</v>
      </c>
      <c r="C63" s="2044" t="s">
        <v>3551</v>
      </c>
      <c r="D63" s="1065">
        <f t="shared" si="12"/>
        <v>1.0999999999999999E-2</v>
      </c>
      <c r="E63" s="745"/>
      <c r="F63" s="1814"/>
      <c r="G63" s="1063">
        <f t="shared" si="17"/>
        <v>5.4999999999999997E-3</v>
      </c>
      <c r="H63" s="1066">
        <f t="shared" si="13"/>
        <v>5.4999999999999997E-3</v>
      </c>
      <c r="I63" s="3367">
        <v>0.11</v>
      </c>
      <c r="J63" s="1064">
        <f t="shared" si="14"/>
        <v>1.0999999999999999E-2</v>
      </c>
      <c r="K63" s="1064">
        <f t="shared" si="15"/>
        <v>5.4999999999999997E-3</v>
      </c>
      <c r="L63" s="1064">
        <v>0</v>
      </c>
      <c r="M63" s="1064">
        <f t="shared" si="16"/>
        <v>-5.4999999999999997E-3</v>
      </c>
      <c r="N63" s="1064">
        <f t="shared" si="16"/>
        <v>-1.0999999999999999E-2</v>
      </c>
      <c r="AA63" s="1120"/>
      <c r="AB63" s="1120"/>
      <c r="AC63" s="1120"/>
      <c r="AD63" s="1120"/>
      <c r="AE63" s="1120"/>
      <c r="AF63" s="1120"/>
      <c r="AG63" s="1120"/>
      <c r="AH63" s="1120"/>
      <c r="AI63" s="1120"/>
      <c r="AJ63" s="1120"/>
      <c r="AK63" s="1120"/>
    </row>
    <row r="64" spans="1:37" s="1119" customFormat="1" ht="36.75">
      <c r="A64" s="2130" t="s">
        <v>2052</v>
      </c>
      <c r="B64" s="2135" t="s">
        <v>2053</v>
      </c>
      <c r="C64" s="2044" t="s">
        <v>3552</v>
      </c>
      <c r="D64" s="1065">
        <f t="shared" si="12"/>
        <v>2.5000000000000001E-3</v>
      </c>
      <c r="E64" s="745"/>
      <c r="F64" s="1814"/>
      <c r="G64" s="1063">
        <f t="shared" si="17"/>
        <v>2.5000000000000001E-3</v>
      </c>
      <c r="H64" s="1066">
        <f t="shared" si="13"/>
        <v>2.5000000000000001E-3</v>
      </c>
      <c r="I64" s="3367">
        <v>0.05</v>
      </c>
      <c r="J64" s="1064">
        <f t="shared" si="14"/>
        <v>5.0000000000000001E-3</v>
      </c>
      <c r="K64" s="1064">
        <f t="shared" si="15"/>
        <v>2.5000000000000001E-3</v>
      </c>
      <c r="L64" s="1064">
        <v>0</v>
      </c>
      <c r="M64" s="1064">
        <f t="shared" si="16"/>
        <v>-2.5000000000000001E-3</v>
      </c>
      <c r="N64" s="1064">
        <f t="shared" si="16"/>
        <v>-5.0000000000000001E-3</v>
      </c>
      <c r="AA64" s="1120"/>
      <c r="AB64" s="1120"/>
      <c r="AC64" s="1120"/>
      <c r="AD64" s="1120"/>
      <c r="AE64" s="1120"/>
      <c r="AF64" s="1120"/>
      <c r="AG64" s="1120"/>
      <c r="AH64" s="1120"/>
      <c r="AI64" s="1120"/>
      <c r="AJ64" s="1120"/>
      <c r="AK64" s="1120"/>
    </row>
    <row r="65" spans="1:37" s="1119" customFormat="1" ht="24">
      <c r="A65" s="2130" t="s">
        <v>2054</v>
      </c>
      <c r="B65" s="2134">
        <f>估价对象房地状况!C24</f>
        <v>0</v>
      </c>
      <c r="C65" s="2044" t="s">
        <v>3552</v>
      </c>
      <c r="D65" s="1065">
        <f t="shared" si="12"/>
        <v>2.5000000000000001E-3</v>
      </c>
      <c r="E65" s="745"/>
      <c r="F65" s="1814"/>
      <c r="G65" s="1063">
        <f t="shared" si="17"/>
        <v>2.5000000000000001E-3</v>
      </c>
      <c r="H65" s="1066">
        <f t="shared" si="13"/>
        <v>2.5000000000000001E-3</v>
      </c>
      <c r="I65" s="3367">
        <v>0.05</v>
      </c>
      <c r="J65" s="1064">
        <f t="shared" si="14"/>
        <v>5.0000000000000001E-3</v>
      </c>
      <c r="K65" s="1064">
        <f t="shared" si="15"/>
        <v>2.5000000000000001E-3</v>
      </c>
      <c r="L65" s="1064">
        <v>0</v>
      </c>
      <c r="M65" s="1064">
        <f t="shared" si="16"/>
        <v>-2.5000000000000001E-3</v>
      </c>
      <c r="N65" s="1064">
        <f t="shared" si="16"/>
        <v>-5.0000000000000001E-3</v>
      </c>
      <c r="AA65" s="1120"/>
      <c r="AB65" s="1120"/>
      <c r="AC65" s="1120"/>
      <c r="AD65" s="1120"/>
      <c r="AE65" s="1120"/>
      <c r="AF65" s="1120"/>
      <c r="AG65" s="1120"/>
      <c r="AH65" s="1120"/>
      <c r="AI65" s="1120"/>
      <c r="AJ65" s="1120"/>
      <c r="AK65" s="1120"/>
    </row>
    <row r="66" spans="1:37" s="1119" customFormat="1" ht="24">
      <c r="A66" s="2130" t="s">
        <v>2055</v>
      </c>
      <c r="B66" s="2136" t="s">
        <v>2056</v>
      </c>
      <c r="C66" s="2044" t="s">
        <v>3552</v>
      </c>
      <c r="D66" s="1065">
        <f t="shared" si="12"/>
        <v>3.0000000000000001E-3</v>
      </c>
      <c r="E66" s="745"/>
      <c r="F66" s="1814"/>
      <c r="G66" s="1063">
        <f t="shared" si="17"/>
        <v>3.0000000000000001E-3</v>
      </c>
      <c r="H66" s="1066">
        <f t="shared" si="13"/>
        <v>3.0000000000000001E-3</v>
      </c>
      <c r="I66" s="3367">
        <v>0.06</v>
      </c>
      <c r="J66" s="1064">
        <f t="shared" si="14"/>
        <v>6.0000000000000001E-3</v>
      </c>
      <c r="K66" s="1064">
        <f t="shared" si="15"/>
        <v>3.0000000000000001E-3</v>
      </c>
      <c r="L66" s="1064">
        <v>0</v>
      </c>
      <c r="M66" s="1064">
        <f t="shared" si="16"/>
        <v>-3.0000000000000001E-3</v>
      </c>
      <c r="N66" s="1064">
        <f t="shared" si="16"/>
        <v>-6.0000000000000001E-3</v>
      </c>
      <c r="AA66" s="1120"/>
      <c r="AB66" s="1120"/>
      <c r="AC66" s="1120"/>
      <c r="AD66" s="1120"/>
      <c r="AE66" s="1120"/>
      <c r="AF66" s="1120"/>
      <c r="AG66" s="1120"/>
      <c r="AH66" s="1120"/>
      <c r="AI66" s="1120"/>
      <c r="AJ66" s="1120"/>
      <c r="AK66" s="1120"/>
    </row>
    <row r="67" spans="1:37" s="1119" customFormat="1" ht="25.5">
      <c r="A67" s="2130" t="s">
        <v>2057</v>
      </c>
      <c r="B67" s="1326" t="str">
        <f>估价对象房地状况!C21</f>
        <v>估价对象所在区域公共配套设施齐备情况</v>
      </c>
      <c r="C67" s="2044" t="s">
        <v>3552</v>
      </c>
      <c r="D67" s="1065">
        <f t="shared" si="12"/>
        <v>3.0000000000000001E-3</v>
      </c>
      <c r="E67" s="745"/>
      <c r="F67" s="1814"/>
      <c r="G67" s="1063">
        <f t="shared" si="17"/>
        <v>3.0000000000000001E-3</v>
      </c>
      <c r="H67" s="1066">
        <f t="shared" si="13"/>
        <v>3.0000000000000001E-3</v>
      </c>
      <c r="I67" s="3367">
        <v>0.06</v>
      </c>
      <c r="J67" s="1064">
        <f t="shared" si="14"/>
        <v>6.0000000000000001E-3</v>
      </c>
      <c r="K67" s="1064">
        <f t="shared" si="15"/>
        <v>3.0000000000000001E-3</v>
      </c>
      <c r="L67" s="1064">
        <v>0</v>
      </c>
      <c r="M67" s="1064">
        <f t="shared" si="16"/>
        <v>-3.0000000000000001E-3</v>
      </c>
      <c r="N67" s="1064">
        <f t="shared" si="16"/>
        <v>-6.0000000000000001E-3</v>
      </c>
      <c r="AA67" s="1120"/>
      <c r="AB67" s="1120"/>
      <c r="AC67" s="1120"/>
      <c r="AD67" s="1120"/>
      <c r="AE67" s="1120"/>
      <c r="AF67" s="1120"/>
      <c r="AG67" s="1120"/>
      <c r="AH67" s="1120"/>
      <c r="AI67" s="1120"/>
      <c r="AJ67" s="1120"/>
      <c r="AK67" s="1120"/>
    </row>
    <row r="68" spans="1:37" s="1119" customFormat="1" ht="25.5">
      <c r="A68" s="2130" t="s">
        <v>2058</v>
      </c>
      <c r="B68" s="1326" t="str">
        <f>估价对象房地状况!C22</f>
        <v>估价对象所在区域基础设施水平</v>
      </c>
      <c r="C68" s="2044" t="s">
        <v>3551</v>
      </c>
      <c r="D68" s="1065">
        <f t="shared" si="12"/>
        <v>8.9999999999999993E-3</v>
      </c>
      <c r="E68" s="745"/>
      <c r="F68" s="1814"/>
      <c r="G68" s="1063">
        <f t="shared" si="17"/>
        <v>4.4999999999999997E-3</v>
      </c>
      <c r="H68" s="1066">
        <f t="shared" si="13"/>
        <v>4.4999999999999997E-3</v>
      </c>
      <c r="I68" s="3367">
        <v>0.09</v>
      </c>
      <c r="J68" s="1064">
        <f t="shared" si="14"/>
        <v>8.9999999999999993E-3</v>
      </c>
      <c r="K68" s="1064">
        <f t="shared" si="15"/>
        <v>4.4999999999999997E-3</v>
      </c>
      <c r="L68" s="1064">
        <v>0</v>
      </c>
      <c r="M68" s="1064">
        <f t="shared" si="16"/>
        <v>-4.4999999999999997E-3</v>
      </c>
      <c r="N68" s="1064">
        <f t="shared" si="16"/>
        <v>-8.9999999999999993E-3</v>
      </c>
      <c r="AA68" s="1120"/>
      <c r="AB68" s="1120"/>
      <c r="AC68" s="1120"/>
      <c r="AD68" s="1120"/>
      <c r="AE68" s="1120"/>
      <c r="AF68" s="1120"/>
      <c r="AG68" s="1120"/>
      <c r="AH68" s="1120"/>
      <c r="AI68" s="1120"/>
      <c r="AJ68" s="1120"/>
      <c r="AK68" s="1120"/>
    </row>
    <row r="69" spans="1:37" s="1119" customFormat="1" ht="26.25" thickBot="1">
      <c r="A69" s="2138" t="s">
        <v>2059</v>
      </c>
      <c r="B69" s="2140" t="str">
        <f>估价对象房地状况!C20</f>
        <v>区域自然环境：；人文环境；综合评价环境状况一般</v>
      </c>
      <c r="C69" s="2044" t="s">
        <v>3552</v>
      </c>
      <c r="D69" s="1065">
        <f t="shared" si="12"/>
        <v>3.5000000000000001E-3</v>
      </c>
      <c r="E69" s="746"/>
      <c r="F69" s="1814"/>
      <c r="G69" s="1063">
        <f t="shared" si="17"/>
        <v>3.5000000000000001E-3</v>
      </c>
      <c r="H69" s="1066">
        <f t="shared" si="13"/>
        <v>3.5000000000000001E-3</v>
      </c>
      <c r="I69" s="3368">
        <v>7.0000000000000007E-2</v>
      </c>
      <c r="J69" s="1064">
        <f t="shared" si="14"/>
        <v>7.0000000000000001E-3</v>
      </c>
      <c r="K69" s="1064">
        <f t="shared" si="15"/>
        <v>3.5000000000000001E-3</v>
      </c>
      <c r="L69" s="1064">
        <v>0</v>
      </c>
      <c r="M69" s="1064">
        <f t="shared" si="16"/>
        <v>-3.5000000000000001E-3</v>
      </c>
      <c r="N69" s="1064">
        <f t="shared" si="16"/>
        <v>-7.0000000000000001E-3</v>
      </c>
      <c r="AA69" s="1120"/>
      <c r="AB69" s="1120"/>
      <c r="AC69" s="1120"/>
      <c r="AD69" s="1120"/>
      <c r="AE69" s="1120"/>
      <c r="AF69" s="1120"/>
      <c r="AG69" s="1120"/>
      <c r="AH69" s="1120"/>
      <c r="AI69" s="1120"/>
      <c r="AJ69" s="1120"/>
      <c r="AK69" s="1120"/>
    </row>
    <row r="70" spans="1:37" s="1119" customFormat="1" ht="15">
      <c r="A70" s="2126" t="s">
        <v>2063</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2042</v>
      </c>
      <c r="B71" s="1351"/>
      <c r="C71" s="1351" t="s">
        <v>2044</v>
      </c>
      <c r="D71" s="1351" t="s">
        <v>2045</v>
      </c>
      <c r="E71" s="743" t="s">
        <v>2046</v>
      </c>
      <c r="F71" s="2131" t="s">
        <v>2061</v>
      </c>
      <c r="G71" s="1351" t="s">
        <v>310</v>
      </c>
      <c r="H71" s="2132" t="s">
        <v>2048</v>
      </c>
      <c r="I71" s="1351" t="s">
        <v>2049</v>
      </c>
      <c r="J71" s="552" t="s">
        <v>1719</v>
      </c>
      <c r="K71" s="552" t="s">
        <v>1720</v>
      </c>
      <c r="L71" s="552" t="s">
        <v>1721</v>
      </c>
      <c r="M71" s="552" t="s">
        <v>1722</v>
      </c>
      <c r="N71" s="552" t="s">
        <v>1723</v>
      </c>
      <c r="AA71" s="1120"/>
      <c r="AB71" s="1120"/>
      <c r="AC71" s="1120"/>
      <c r="AD71" s="1120"/>
      <c r="AE71" s="1120"/>
      <c r="AF71" s="1120"/>
      <c r="AG71" s="1120"/>
      <c r="AH71" s="1120"/>
      <c r="AI71" s="1120"/>
      <c r="AJ71" s="1120"/>
      <c r="AK71" s="1120"/>
    </row>
    <row r="72" spans="1:37" s="1119" customFormat="1" ht="51">
      <c r="A72" s="2130" t="s">
        <v>2064</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2051</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3270</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2065</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2057</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2058</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2055</v>
      </c>
      <c r="B78" s="2136" t="s">
        <v>2056</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2059</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2066</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2067</v>
      </c>
      <c r="B81" s="2127">
        <f>1+E83</f>
        <v>1</v>
      </c>
      <c r="C81" s="741"/>
      <c r="D81" s="741"/>
      <c r="E81" s="742"/>
      <c r="F81" s="2129"/>
      <c r="G81" s="3"/>
      <c r="H81" s="3"/>
      <c r="I81" s="3"/>
      <c r="J81" s="4"/>
      <c r="K81" s="4"/>
      <c r="L81" s="4"/>
      <c r="M81" s="4"/>
      <c r="N81" s="4"/>
      <c r="Z81" s="1998"/>
      <c r="AA81" s="2053"/>
      <c r="AG81" s="1121"/>
      <c r="AK81" s="2053"/>
    </row>
    <row r="82" spans="1:37" ht="24.75">
      <c r="A82" s="2130" t="s">
        <v>2042</v>
      </c>
      <c r="B82" s="1351"/>
      <c r="C82" s="1351" t="s">
        <v>2044</v>
      </c>
      <c r="D82" s="1351" t="s">
        <v>2045</v>
      </c>
      <c r="E82" s="743" t="s">
        <v>2046</v>
      </c>
      <c r="F82" s="2131" t="s">
        <v>2061</v>
      </c>
      <c r="G82" s="1351" t="s">
        <v>310</v>
      </c>
      <c r="H82" s="2132" t="s">
        <v>2048</v>
      </c>
      <c r="I82" s="1351" t="s">
        <v>2049</v>
      </c>
      <c r="J82" s="552" t="s">
        <v>1719</v>
      </c>
      <c r="K82" s="552" t="s">
        <v>1720</v>
      </c>
      <c r="L82" s="552" t="s">
        <v>1721</v>
      </c>
      <c r="M82" s="552" t="s">
        <v>1722</v>
      </c>
      <c r="N82" s="552" t="s">
        <v>1723</v>
      </c>
      <c r="Z82" s="1998"/>
      <c r="AA82" s="2053"/>
      <c r="AG82" s="1121"/>
      <c r="AK82" s="2053"/>
    </row>
    <row r="83" spans="1:37" ht="38.25">
      <c r="A83" s="2130" t="s">
        <v>2068</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2051</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3270</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2065</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2057</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2058</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2055</v>
      </c>
      <c r="B89" s="2136" t="s">
        <v>2069</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2070</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2613</v>
      </c>
      <c r="B91" s="3378">
        <f>1+E93</f>
        <v>1</v>
      </c>
      <c r="C91" s="3371"/>
      <c r="D91" s="3372"/>
      <c r="E91" s="1814"/>
      <c r="F91" s="1814"/>
      <c r="G91" s="3373"/>
      <c r="H91" s="3374"/>
      <c r="I91" s="3375"/>
      <c r="J91" s="3376"/>
      <c r="K91" s="3376"/>
      <c r="L91" s="3376"/>
      <c r="M91" s="3376"/>
      <c r="N91" s="3376"/>
    </row>
    <row r="92" spans="1:37" ht="24.75">
      <c r="A92" s="3379" t="s">
        <v>2042</v>
      </c>
      <c r="B92" s="3366"/>
      <c r="C92" s="3366" t="s">
        <v>2044</v>
      </c>
      <c r="D92" s="3366" t="s">
        <v>2045</v>
      </c>
      <c r="E92" s="3348" t="s">
        <v>2046</v>
      </c>
      <c r="F92" s="3381" t="s">
        <v>3284</v>
      </c>
      <c r="G92" s="3366" t="s">
        <v>1987</v>
      </c>
      <c r="H92" s="3388" t="s">
        <v>3288</v>
      </c>
      <c r="I92" s="3366" t="s">
        <v>2049</v>
      </c>
      <c r="J92" s="3389" t="s">
        <v>1719</v>
      </c>
      <c r="K92" s="3389" t="s">
        <v>1720</v>
      </c>
      <c r="L92" s="3389" t="s">
        <v>1721</v>
      </c>
      <c r="M92" s="3389" t="s">
        <v>1722</v>
      </c>
      <c r="N92" s="3389" t="s">
        <v>1723</v>
      </c>
    </row>
    <row r="93" spans="1:37" ht="24">
      <c r="A93" s="3369" t="s">
        <v>3273</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2051</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3270</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2052</v>
      </c>
      <c r="B96" s="3385" t="s">
        <v>3286</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2054</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2055</v>
      </c>
      <c r="B98" s="3386" t="s">
        <v>3287</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2057</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2058</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2059</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866" t="s">
        <v>3295</v>
      </c>
      <c r="B103" s="3866"/>
      <c r="C103" s="3866"/>
      <c r="D103" s="3866"/>
      <c r="E103" s="3866"/>
      <c r="F103" s="3866"/>
      <c r="G103" s="3866"/>
      <c r="H103" s="3866"/>
      <c r="I103" s="3866"/>
      <c r="J103" s="3866"/>
      <c r="K103" s="3572"/>
      <c r="L103" s="3572"/>
      <c r="M103" s="3572"/>
      <c r="N103" s="3572"/>
    </row>
    <row r="104" spans="1:14">
      <c r="A104" s="3867" t="s">
        <v>3296</v>
      </c>
      <c r="B104" s="3867" t="s">
        <v>3297</v>
      </c>
      <c r="C104" s="3391" t="s">
        <v>3298</v>
      </c>
      <c r="D104" s="3392"/>
      <c r="E104" s="3392"/>
      <c r="F104" s="3392"/>
      <c r="G104" s="3392"/>
      <c r="H104" s="3392"/>
      <c r="I104" s="3392"/>
      <c r="J104" s="3393"/>
      <c r="K104" s="3394"/>
      <c r="L104" s="3394"/>
      <c r="M104" s="3394"/>
      <c r="N104" s="3394"/>
    </row>
    <row r="105" spans="1:14">
      <c r="A105" s="3867"/>
      <c r="B105" s="3867"/>
      <c r="C105" s="3573" t="s">
        <v>1959</v>
      </c>
      <c r="D105" s="3573" t="s">
        <v>1960</v>
      </c>
      <c r="E105" s="3573" t="s">
        <v>1961</v>
      </c>
      <c r="F105" s="3573" t="s">
        <v>1962</v>
      </c>
      <c r="G105" s="3573" t="s">
        <v>1963</v>
      </c>
      <c r="H105" s="3573" t="s">
        <v>1964</v>
      </c>
      <c r="I105" s="3573" t="s">
        <v>1965</v>
      </c>
      <c r="J105" s="3573" t="s">
        <v>1966</v>
      </c>
      <c r="K105" s="3573" t="s">
        <v>1967</v>
      </c>
      <c r="L105" s="3573" t="s">
        <v>1968</v>
      </c>
      <c r="M105" s="3573" t="s">
        <v>1969</v>
      </c>
      <c r="N105" s="3573" t="s">
        <v>1970</v>
      </c>
    </row>
    <row r="106" spans="1:14">
      <c r="A106" s="3853" t="s">
        <v>3311</v>
      </c>
      <c r="B106" s="3573">
        <v>1</v>
      </c>
      <c r="C106" s="3573">
        <v>1.5206</v>
      </c>
      <c r="D106" s="3573">
        <v>1.5206</v>
      </c>
      <c r="E106" s="3573">
        <v>1.5019</v>
      </c>
      <c r="F106" s="3573">
        <v>1.5019</v>
      </c>
      <c r="G106" s="3573">
        <v>1.5019</v>
      </c>
      <c r="H106" s="3573">
        <v>1.5019</v>
      </c>
      <c r="I106" s="3573">
        <v>1.5019</v>
      </c>
      <c r="J106" s="3573">
        <v>1.5418000000000001</v>
      </c>
      <c r="K106" s="3573">
        <v>1.5418000000000001</v>
      </c>
      <c r="L106" s="3573">
        <v>1.5418000000000001</v>
      </c>
      <c r="M106" s="3573">
        <v>1.5418000000000001</v>
      </c>
      <c r="N106" s="3573">
        <v>1.5418000000000001</v>
      </c>
    </row>
    <row r="107" spans="1:14">
      <c r="A107" s="3854"/>
      <c r="B107" s="3573">
        <v>2</v>
      </c>
      <c r="C107" s="3573">
        <v>1.2072000000000001</v>
      </c>
      <c r="D107" s="3573">
        <v>1.2072000000000001</v>
      </c>
      <c r="E107" s="3573">
        <v>1.1838</v>
      </c>
      <c r="F107" s="3573">
        <v>1.1838</v>
      </c>
      <c r="G107" s="3573">
        <v>1.1838</v>
      </c>
      <c r="H107" s="3573">
        <v>1.1838</v>
      </c>
      <c r="I107" s="3573">
        <v>1.1838</v>
      </c>
      <c r="J107" s="3573">
        <v>1.1883999999999999</v>
      </c>
      <c r="K107" s="3573">
        <v>1.1883999999999999</v>
      </c>
      <c r="L107" s="3573">
        <v>1.1883999999999999</v>
      </c>
      <c r="M107" s="3573">
        <v>1.1883999999999999</v>
      </c>
      <c r="N107" s="3573">
        <v>1.1883999999999999</v>
      </c>
    </row>
    <row r="108" spans="1:14">
      <c r="A108" s="3854"/>
      <c r="B108" s="3573">
        <v>3</v>
      </c>
      <c r="C108" s="3573">
        <v>1.0430999999999999</v>
      </c>
      <c r="D108" s="3573">
        <v>1.0430999999999999</v>
      </c>
      <c r="E108" s="3573">
        <v>1.0004999999999999</v>
      </c>
      <c r="F108" s="3573">
        <v>1.0004999999999999</v>
      </c>
      <c r="G108" s="3573">
        <v>1.0004999999999999</v>
      </c>
      <c r="H108" s="3573">
        <v>1.0004999999999999</v>
      </c>
      <c r="I108" s="3573">
        <v>1.0004999999999999</v>
      </c>
      <c r="J108" s="3573">
        <v>0.96940000000000004</v>
      </c>
      <c r="K108" s="3573">
        <v>0.96940000000000004</v>
      </c>
      <c r="L108" s="3573">
        <v>0.96940000000000004</v>
      </c>
      <c r="M108" s="3573">
        <v>0.96940000000000004</v>
      </c>
      <c r="N108" s="3573">
        <v>0.96940000000000004</v>
      </c>
    </row>
    <row r="109" spans="1:14">
      <c r="A109" s="3854"/>
      <c r="B109" s="3573">
        <v>4</v>
      </c>
      <c r="C109" s="3573">
        <v>0.94389999999999996</v>
      </c>
      <c r="D109" s="3573">
        <v>0.94389999999999996</v>
      </c>
      <c r="E109" s="3573">
        <v>0.88239999999999996</v>
      </c>
      <c r="F109" s="3573">
        <v>0.88239999999999996</v>
      </c>
      <c r="G109" s="3573">
        <v>0.88239999999999996</v>
      </c>
      <c r="H109" s="3573">
        <v>0.88239999999999996</v>
      </c>
      <c r="I109" s="3573">
        <v>0.88239999999999996</v>
      </c>
      <c r="J109" s="3573">
        <v>0.82299999999999995</v>
      </c>
      <c r="K109" s="3573">
        <v>0.82299999999999995</v>
      </c>
      <c r="L109" s="3573">
        <v>0.82299999999999995</v>
      </c>
      <c r="M109" s="3573">
        <v>0.82299999999999995</v>
      </c>
      <c r="N109" s="3573">
        <v>0.82299999999999995</v>
      </c>
    </row>
    <row r="110" spans="1:14">
      <c r="A110" s="3854"/>
      <c r="B110" s="3573">
        <v>5</v>
      </c>
      <c r="C110" s="3573">
        <v>0.89959999999999996</v>
      </c>
      <c r="D110" s="3573">
        <v>0.89959999999999996</v>
      </c>
      <c r="E110" s="3573">
        <v>0.84799999999999998</v>
      </c>
      <c r="F110" s="3573">
        <v>0.84799999999999998</v>
      </c>
      <c r="G110" s="3573">
        <v>0.84799999999999998</v>
      </c>
      <c r="H110" s="3573">
        <v>0.84799999999999998</v>
      </c>
      <c r="I110" s="3573">
        <v>0.84799999999999998</v>
      </c>
      <c r="J110" s="3573">
        <v>0.74980000000000002</v>
      </c>
      <c r="K110" s="3573">
        <v>0.74980000000000002</v>
      </c>
      <c r="L110" s="3573">
        <v>0.74980000000000002</v>
      </c>
      <c r="M110" s="3573">
        <v>0.74980000000000002</v>
      </c>
      <c r="N110" s="3573">
        <v>0.74980000000000002</v>
      </c>
    </row>
    <row r="111" spans="1:14">
      <c r="A111" s="3854"/>
      <c r="B111" s="3573" t="s">
        <v>3269</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855"/>
      <c r="B112" s="3573">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856" t="s">
        <v>3312</v>
      </c>
      <c r="B113" s="3856"/>
      <c r="C113" s="3856"/>
      <c r="D113" s="3856"/>
      <c r="E113" s="3856"/>
      <c r="F113" s="3856"/>
      <c r="G113" s="3856"/>
      <c r="H113" s="3856"/>
      <c r="I113" s="3856"/>
      <c r="J113" s="3856"/>
      <c r="K113" s="3570"/>
      <c r="L113" s="3570"/>
      <c r="M113" s="3570"/>
      <c r="N113" s="3570"/>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3313</v>
      </c>
      <c r="B116" s="3416">
        <f>G3</f>
        <v>3.5</v>
      </c>
      <c r="C116" s="3400" t="s">
        <v>3314</v>
      </c>
      <c r="D116" s="3401">
        <f>SUMPRODUCT((A118:A122=F116)*(B117:M117=H116)*B118:M122)</f>
        <v>0.95379999999999998</v>
      </c>
      <c r="E116" s="2000" t="s">
        <v>1934</v>
      </c>
      <c r="F116" s="3402" t="str">
        <f>E2</f>
        <v>办公</v>
      </c>
      <c r="G116" s="2000" t="s">
        <v>1935</v>
      </c>
      <c r="H116" s="3402" t="str">
        <f>G2</f>
        <v>二级</v>
      </c>
      <c r="I116" s="2000"/>
      <c r="J116" s="3403"/>
      <c r="K116" s="3403"/>
      <c r="L116" s="3403"/>
      <c r="M116" s="3403"/>
      <c r="N116" s="3398"/>
    </row>
    <row r="117" spans="1:14">
      <c r="A117" s="3404"/>
      <c r="B117" s="3405" t="s">
        <v>3317</v>
      </c>
      <c r="C117" s="3405" t="s">
        <v>3318</v>
      </c>
      <c r="D117" s="3405" t="s">
        <v>3319</v>
      </c>
      <c r="E117" s="3406" t="s">
        <v>3320</v>
      </c>
      <c r="F117" s="3406" t="s">
        <v>3321</v>
      </c>
      <c r="G117" s="3406" t="s">
        <v>3322</v>
      </c>
      <c r="H117" s="3407" t="s">
        <v>3323</v>
      </c>
      <c r="I117" s="3407" t="s">
        <v>3324</v>
      </c>
      <c r="J117" s="3408" t="s">
        <v>3325</v>
      </c>
      <c r="K117" s="3408" t="s">
        <v>3326</v>
      </c>
      <c r="L117" s="3408" t="s">
        <v>3327</v>
      </c>
      <c r="M117" s="3409" t="s">
        <v>3328</v>
      </c>
      <c r="N117" s="3398"/>
    </row>
    <row r="118" spans="1:14">
      <c r="A118" s="3410" t="s">
        <v>1988</v>
      </c>
      <c r="B118" s="3388">
        <f>ROUND(0.9968-0.011*B116,4)</f>
        <v>0.95830000000000004</v>
      </c>
      <c r="C118" s="3388">
        <f>B118</f>
        <v>0.95830000000000004</v>
      </c>
      <c r="D118" s="3388">
        <f>ROUND(0.949-0.014*B116,4)</f>
        <v>0.9</v>
      </c>
      <c r="E118" s="3388">
        <f>D118</f>
        <v>0.9</v>
      </c>
      <c r="F118" s="3388">
        <f>E118</f>
        <v>0.9</v>
      </c>
      <c r="G118" s="3388">
        <f>F118</f>
        <v>0.9</v>
      </c>
      <c r="H118" s="3388">
        <f>G118</f>
        <v>0.9</v>
      </c>
      <c r="I118" s="3388">
        <f>ROUND(0.8486-0.018*B116,4)</f>
        <v>0.78559999999999997</v>
      </c>
      <c r="J118" s="3388">
        <f t="shared" ref="J118:M122" si="36">I118</f>
        <v>0.78559999999999997</v>
      </c>
      <c r="K118" s="3388">
        <f t="shared" si="36"/>
        <v>0.78559999999999997</v>
      </c>
      <c r="L118" s="3388">
        <f t="shared" si="36"/>
        <v>0.78559999999999997</v>
      </c>
      <c r="M118" s="3411">
        <f t="shared" si="36"/>
        <v>0.78559999999999997</v>
      </c>
      <c r="N118" s="3398"/>
    </row>
    <row r="119" spans="1:14">
      <c r="A119" s="3410" t="s">
        <v>1989</v>
      </c>
      <c r="B119" s="3388">
        <f>ROUND(0.993-0.0112*B116,4)</f>
        <v>0.95379999999999998</v>
      </c>
      <c r="C119" s="3388">
        <f>B119</f>
        <v>0.95379999999999998</v>
      </c>
      <c r="D119" s="3388">
        <f>ROUND(0.9415-0.0142*B116,4)</f>
        <v>0.89180000000000004</v>
      </c>
      <c r="E119" s="3388">
        <f t="shared" ref="E119:H120" si="37">D119</f>
        <v>0.89180000000000004</v>
      </c>
      <c r="F119" s="3388">
        <f t="shared" si="37"/>
        <v>0.89180000000000004</v>
      </c>
      <c r="G119" s="3388">
        <f t="shared" si="37"/>
        <v>0.89180000000000004</v>
      </c>
      <c r="H119" s="3388">
        <f t="shared" si="37"/>
        <v>0.89180000000000004</v>
      </c>
      <c r="I119" s="3388">
        <f>ROUND(0.838-0.0182*B116,4)</f>
        <v>0.77429999999999999</v>
      </c>
      <c r="J119" s="3388">
        <f t="shared" si="36"/>
        <v>0.77429999999999999</v>
      </c>
      <c r="K119" s="3388">
        <f t="shared" si="36"/>
        <v>0.77429999999999999</v>
      </c>
      <c r="L119" s="3388">
        <f t="shared" si="36"/>
        <v>0.77429999999999999</v>
      </c>
      <c r="M119" s="3411">
        <f t="shared" si="36"/>
        <v>0.77429999999999999</v>
      </c>
      <c r="N119" s="3398"/>
    </row>
    <row r="120" spans="1:14">
      <c r="A120" s="3410" t="s">
        <v>1990</v>
      </c>
      <c r="B120" s="3388">
        <f>ROUND(0.9448-0.0115*B116,4)</f>
        <v>0.90459999999999996</v>
      </c>
      <c r="C120" s="3388">
        <f>B120</f>
        <v>0.90459999999999996</v>
      </c>
      <c r="D120" s="3388">
        <f>ROUND(0.937-0.0145*B116,4)</f>
        <v>0.88629999999999998</v>
      </c>
      <c r="E120" s="3388">
        <f t="shared" si="37"/>
        <v>0.88629999999999998</v>
      </c>
      <c r="F120" s="3388">
        <f t="shared" si="37"/>
        <v>0.88629999999999998</v>
      </c>
      <c r="G120" s="3388">
        <f t="shared" si="37"/>
        <v>0.88629999999999998</v>
      </c>
      <c r="H120" s="3388">
        <f t="shared" si="37"/>
        <v>0.88629999999999998</v>
      </c>
      <c r="I120" s="3388">
        <f>ROUND(0.7965-0.0185*B116,4)</f>
        <v>0.73180000000000001</v>
      </c>
      <c r="J120" s="3388">
        <f t="shared" si="36"/>
        <v>0.73180000000000001</v>
      </c>
      <c r="K120" s="3388">
        <f t="shared" si="36"/>
        <v>0.73180000000000001</v>
      </c>
      <c r="L120" s="3388">
        <f t="shared" si="36"/>
        <v>0.73180000000000001</v>
      </c>
      <c r="M120" s="3411">
        <f t="shared" si="36"/>
        <v>0.73180000000000001</v>
      </c>
      <c r="N120" s="3398"/>
    </row>
    <row r="121" spans="1:14" ht="13.5" thickBot="1">
      <c r="A121" s="3412" t="s">
        <v>1991</v>
      </c>
      <c r="B121" s="3413">
        <f>ROUND(0.7836-0.012*B116,4)</f>
        <v>0.74160000000000004</v>
      </c>
      <c r="C121" s="3413">
        <f>B121</f>
        <v>0.74160000000000004</v>
      </c>
      <c r="D121" s="3413">
        <f>ROUND(0.753-0.015*B116,4)</f>
        <v>0.70050000000000001</v>
      </c>
      <c r="E121" s="3413">
        <f>D121</f>
        <v>0.70050000000000001</v>
      </c>
      <c r="F121" s="3413">
        <f>E121</f>
        <v>0.70050000000000001</v>
      </c>
      <c r="G121" s="3413">
        <f>ROUND(0.6612-0.018*B116,4)</f>
        <v>0.59819999999999995</v>
      </c>
      <c r="H121" s="3413">
        <f>G121</f>
        <v>0.59819999999999995</v>
      </c>
      <c r="I121" s="3413">
        <f>ROUND(0.5905-0.019*B116,4)</f>
        <v>0.52400000000000002</v>
      </c>
      <c r="J121" s="3413">
        <f t="shared" si="36"/>
        <v>0.52400000000000002</v>
      </c>
      <c r="K121" s="3413">
        <f t="shared" si="36"/>
        <v>0.52400000000000002</v>
      </c>
      <c r="L121" s="3413">
        <f t="shared" si="36"/>
        <v>0.52400000000000002</v>
      </c>
      <c r="M121" s="3414">
        <f t="shared" si="36"/>
        <v>0.52400000000000002</v>
      </c>
      <c r="N121" s="3398"/>
    </row>
    <row r="122" spans="1:14">
      <c r="A122" s="3415" t="s">
        <v>2613</v>
      </c>
      <c r="B122" s="3388">
        <f>ROUND(0.9404-0.0106*B116,4)</f>
        <v>0.90329999999999999</v>
      </c>
      <c r="C122" s="3388">
        <f>B122</f>
        <v>0.90329999999999999</v>
      </c>
      <c r="D122" s="3388">
        <f>ROUND(0.8955-0.0135*B116,4)</f>
        <v>0.84830000000000005</v>
      </c>
      <c r="E122" s="3388">
        <f t="shared" ref="E122:H122" si="38">D122</f>
        <v>0.84830000000000005</v>
      </c>
      <c r="F122" s="3388">
        <f t="shared" si="38"/>
        <v>0.84830000000000005</v>
      </c>
      <c r="G122" s="3388">
        <f t="shared" si="38"/>
        <v>0.84830000000000005</v>
      </c>
      <c r="H122" s="3388">
        <f t="shared" si="38"/>
        <v>0.84830000000000005</v>
      </c>
      <c r="I122" s="3388">
        <f>ROUND(0.7632-0.0166*B116,4)</f>
        <v>0.70509999999999995</v>
      </c>
      <c r="J122" s="3388">
        <f t="shared" si="36"/>
        <v>0.70509999999999995</v>
      </c>
      <c r="K122" s="3388">
        <f t="shared" si="36"/>
        <v>0.70509999999999995</v>
      </c>
      <c r="L122" s="3388">
        <f t="shared" si="36"/>
        <v>0.70509999999999995</v>
      </c>
      <c r="M122" s="3411">
        <f t="shared" si="36"/>
        <v>0.70509999999999995</v>
      </c>
      <c r="N122" s="3398"/>
    </row>
  </sheetData>
  <sheetProtection password="CEE9" sheet="1" objects="1" scenarios="1" formatCells="0" formatColumns="0" formatRows="0"/>
  <dataConsolidate/>
  <mergeCells count="11">
    <mergeCell ref="A103:J103"/>
    <mergeCell ref="A104:A105"/>
    <mergeCell ref="B104:B105"/>
    <mergeCell ref="A106:A112"/>
    <mergeCell ref="A113:J113"/>
    <mergeCell ref="A37:A39"/>
    <mergeCell ref="A4:J4"/>
    <mergeCell ref="W8:X8"/>
    <mergeCell ref="W9:W10"/>
    <mergeCell ref="A20:A21"/>
    <mergeCell ref="F20:G20"/>
  </mergeCells>
  <phoneticPr fontId="134" type="noConversion"/>
  <conditionalFormatting sqref="F50">
    <cfRule type="cellIs" dxfId="158" priority="6" stopIfTrue="1" operator="notEqual">
      <formula>"——"</formula>
    </cfRule>
  </conditionalFormatting>
  <conditionalFormatting sqref="F61">
    <cfRule type="cellIs" dxfId="157" priority="5" stopIfTrue="1" operator="notEqual">
      <formula>"——"</formula>
    </cfRule>
  </conditionalFormatting>
  <conditionalFormatting sqref="F72">
    <cfRule type="cellIs" dxfId="156" priority="4" stopIfTrue="1" operator="notEqual">
      <formula>"——"</formula>
    </cfRule>
  </conditionalFormatting>
  <conditionalFormatting sqref="F83">
    <cfRule type="cellIs" dxfId="155" priority="3" stopIfTrue="1" operator="notEqual">
      <formula>"——"</formula>
    </cfRule>
  </conditionalFormatting>
  <conditionalFormatting sqref="H50:H58 H61:H69 H72:H80 H83:H91">
    <cfRule type="cellIs" dxfId="154" priority="2" operator="notEqual">
      <formula>"——"</formula>
    </cfRule>
  </conditionalFormatting>
  <conditionalFormatting sqref="H93:H101">
    <cfRule type="cellIs" dxfId="153"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C61:C69 C72:C80 C50:C58 C83:C91 C93:C101">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G26" sqref="G26"/>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1260</v>
      </c>
      <c r="B1" s="1747"/>
      <c r="C1" s="1748"/>
      <c r="D1" s="1747"/>
      <c r="E1" s="1747"/>
      <c r="F1" s="1749" t="s">
        <v>1261</v>
      </c>
      <c r="G1" s="1561"/>
      <c r="H1" s="1750" t="str">
        <f>IF(G1="现房","——","估价对象范围")</f>
        <v>估价对象范围</v>
      </c>
      <c r="I1" s="1751"/>
    </row>
    <row r="2" spans="1:12" ht="21.75" customHeight="1" thickBot="1">
      <c r="A2" s="3790" t="str">
        <f>项目基本情况!S2</f>
        <v>北京市房地产</v>
      </c>
      <c r="B2" s="3791"/>
      <c r="C2" s="3791"/>
      <c r="D2" s="3791"/>
      <c r="E2" s="3791"/>
      <c r="F2" s="3791"/>
      <c r="G2" s="3791"/>
      <c r="H2" s="3791"/>
      <c r="I2" s="3792"/>
    </row>
    <row r="3" spans="1:12" ht="12.75">
      <c r="A3" s="3794" t="s">
        <v>1262</v>
      </c>
      <c r="B3" s="3795"/>
      <c r="C3" s="3795"/>
      <c r="D3" s="3795"/>
      <c r="E3" s="3795"/>
      <c r="F3" s="3795"/>
      <c r="G3" s="3795"/>
      <c r="H3" s="3795"/>
      <c r="I3" s="3795"/>
    </row>
    <row r="4" spans="1:12" ht="14.25">
      <c r="A4" s="1754" t="s">
        <v>1263</v>
      </c>
      <c r="B4" s="1755" t="s">
        <v>1264</v>
      </c>
      <c r="C4" s="1756" t="s">
        <v>3559</v>
      </c>
      <c r="D4" s="1756" t="s">
        <v>3543</v>
      </c>
      <c r="E4" s="3796" t="s">
        <v>1265</v>
      </c>
      <c r="F4" s="3797"/>
      <c r="G4" s="3797"/>
      <c r="H4" s="3797"/>
      <c r="I4" s="3798"/>
      <c r="K4" s="146" t="str">
        <f>IF(ISNUMBER(FIND("比较法",'结果表(办公)'!C4)),"比较法",IF(ISNUMBER(FIND("成本法",'结果表(办公)'!C4)),"成本法",IF(ISNUMBER(FIND("假设开发法",'结果表(办公)'!C4)),"假设开发法",IF(ISNUMBER(FIND("收益法",'结果表(办公)'!C4)),"收益法","基准地价系数修正法"))))</f>
        <v>比较法</v>
      </c>
      <c r="L4" s="146" t="str">
        <f>IF(ISNUMBER(FIND("比较法",'结果表(办公)'!D4)),"比较法",IF(ISNUMBER(FIND("成本法",'结果表(办公)'!D4)),"成本法",IF(ISNUMBER(FIND("假设开发法",'结果表(办公)'!D4)),"假设开发法",IF(ISNUMBER(FIND("收益法",'结果表(办公)'!D4)),"收益法","基准地价系数修正法"))))</f>
        <v>收益法</v>
      </c>
    </row>
    <row r="5" spans="1:12" ht="12.75">
      <c r="A5" s="3770" t="s">
        <v>1266</v>
      </c>
      <c r="B5" s="3757">
        <v>25</v>
      </c>
      <c r="C5" s="3773"/>
      <c r="D5" s="3793"/>
      <c r="E5" s="131" t="s">
        <v>1267</v>
      </c>
      <c r="F5" s="1757"/>
      <c r="G5" s="1757"/>
      <c r="H5" s="1757"/>
      <c r="I5" s="1373"/>
    </row>
    <row r="6" spans="1:12" ht="12.75">
      <c r="A6" s="3770"/>
      <c r="B6" s="3757"/>
      <c r="C6" s="3774"/>
      <c r="D6" s="3793"/>
      <c r="E6" s="131" t="s">
        <v>1268</v>
      </c>
      <c r="F6" s="1757"/>
      <c r="G6" s="1757"/>
      <c r="H6" s="1757"/>
      <c r="I6" s="1373"/>
    </row>
    <row r="7" spans="1:12" ht="12.75">
      <c r="A7" s="3770"/>
      <c r="B7" s="3757"/>
      <c r="C7" s="3775"/>
      <c r="D7" s="3793"/>
      <c r="E7" s="131" t="s">
        <v>1269</v>
      </c>
      <c r="F7" s="1757"/>
      <c r="G7" s="1757"/>
      <c r="H7" s="1757"/>
      <c r="I7" s="1373"/>
    </row>
    <row r="8" spans="1:12" ht="12.75">
      <c r="A8" s="3770" t="s">
        <v>1270</v>
      </c>
      <c r="B8" s="3757">
        <v>15</v>
      </c>
      <c r="C8" s="3773"/>
      <c r="D8" s="3793"/>
      <c r="E8" s="131" t="s">
        <v>1271</v>
      </c>
      <c r="F8" s="1757"/>
      <c r="G8" s="1757"/>
      <c r="H8" s="1757"/>
      <c r="I8" s="1373"/>
    </row>
    <row r="9" spans="1:12" ht="12.75">
      <c r="A9" s="3770"/>
      <c r="B9" s="3757"/>
      <c r="C9" s="3775"/>
      <c r="D9" s="3793"/>
      <c r="E9" s="131" t="s">
        <v>1272</v>
      </c>
      <c r="F9" s="1757"/>
      <c r="G9" s="1757"/>
      <c r="H9" s="1757"/>
      <c r="I9" s="1373"/>
    </row>
    <row r="10" spans="1:12" ht="12.75">
      <c r="A10" s="3770" t="s">
        <v>1273</v>
      </c>
      <c r="B10" s="3757">
        <v>15</v>
      </c>
      <c r="C10" s="3773"/>
      <c r="D10" s="3793"/>
      <c r="E10" s="131" t="s">
        <v>1274</v>
      </c>
      <c r="F10" s="1757"/>
      <c r="G10" s="1757"/>
      <c r="H10" s="1757"/>
      <c r="I10" s="1373"/>
    </row>
    <row r="11" spans="1:12" ht="12.75">
      <c r="A11" s="3770"/>
      <c r="B11" s="3757"/>
      <c r="C11" s="3775"/>
      <c r="D11" s="3793"/>
      <c r="E11" s="131" t="s">
        <v>1275</v>
      </c>
      <c r="F11" s="1757"/>
      <c r="G11" s="1757"/>
      <c r="H11" s="1757"/>
      <c r="I11" s="1373"/>
    </row>
    <row r="12" spans="1:12" ht="12.75">
      <c r="A12" s="3770" t="s">
        <v>1276</v>
      </c>
      <c r="B12" s="3757">
        <v>15</v>
      </c>
      <c r="C12" s="3773"/>
      <c r="D12" s="3793"/>
      <c r="E12" s="131" t="s">
        <v>1277</v>
      </c>
      <c r="F12" s="1757"/>
      <c r="G12" s="1757"/>
      <c r="H12" s="1757"/>
      <c r="I12" s="1373"/>
    </row>
    <row r="13" spans="1:12" ht="12.75">
      <c r="A13" s="3770"/>
      <c r="B13" s="3757"/>
      <c r="C13" s="3775"/>
      <c r="D13" s="3793"/>
      <c r="E13" s="131" t="s">
        <v>1278</v>
      </c>
      <c r="F13" s="1757"/>
      <c r="G13" s="1757"/>
      <c r="H13" s="1757"/>
      <c r="I13" s="1373"/>
    </row>
    <row r="14" spans="1:12" ht="12.75">
      <c r="A14" s="3770" t="s">
        <v>1279</v>
      </c>
      <c r="B14" s="3757">
        <v>30</v>
      </c>
      <c r="C14" s="3773">
        <v>5</v>
      </c>
      <c r="D14" s="3793">
        <v>5</v>
      </c>
      <c r="E14" s="131" t="s">
        <v>1280</v>
      </c>
      <c r="F14" s="1757"/>
      <c r="G14" s="1757"/>
      <c r="H14" s="1757"/>
      <c r="I14" s="1373"/>
    </row>
    <row r="15" spans="1:12" ht="12.75">
      <c r="A15" s="3770"/>
      <c r="B15" s="3757"/>
      <c r="C15" s="3774"/>
      <c r="D15" s="3793"/>
      <c r="E15" s="131" t="s">
        <v>1281</v>
      </c>
      <c r="F15" s="1757"/>
      <c r="G15" s="1757"/>
      <c r="H15" s="1757"/>
      <c r="I15" s="1373"/>
    </row>
    <row r="16" spans="1:12" ht="12.75">
      <c r="A16" s="3770"/>
      <c r="B16" s="3757"/>
      <c r="C16" s="3775"/>
      <c r="D16" s="3793"/>
      <c r="E16" s="131" t="s">
        <v>1282</v>
      </c>
      <c r="F16" s="1757"/>
      <c r="G16" s="1757"/>
      <c r="H16" s="1757"/>
      <c r="I16" s="1373"/>
    </row>
    <row r="17" spans="1:36" ht="15">
      <c r="A17" s="1758" t="s">
        <v>1283</v>
      </c>
      <c r="B17" s="56"/>
      <c r="C17" s="132">
        <f>SUM(C5:C16)</f>
        <v>5</v>
      </c>
      <c r="D17" s="132">
        <f>SUM(D5:D16)</f>
        <v>5</v>
      </c>
      <c r="E17" s="129"/>
      <c r="F17" s="129"/>
      <c r="G17" s="129"/>
      <c r="H17" s="129"/>
      <c r="I17" s="129"/>
      <c r="K17" s="302"/>
      <c r="L17" s="302" t="s">
        <v>1284</v>
      </c>
      <c r="M17" s="302" t="s">
        <v>1285</v>
      </c>
    </row>
    <row r="18" spans="1:36" ht="31.9" customHeight="1" thickBot="1">
      <c r="A18" s="1759" t="s">
        <v>1286</v>
      </c>
      <c r="B18" s="1760"/>
      <c r="C18" s="133">
        <f>ROUND(C17/SUM(C17:D17),2)</f>
        <v>0.5</v>
      </c>
      <c r="D18" s="133">
        <f>1-C18</f>
        <v>0.5</v>
      </c>
      <c r="E18" s="3780" t="s">
        <v>2128</v>
      </c>
      <c r="F18" s="3781"/>
      <c r="G18" s="3781"/>
      <c r="H18" s="3781"/>
      <c r="I18" s="3781"/>
      <c r="K18" s="302" t="s">
        <v>1287</v>
      </c>
      <c r="L18" s="302">
        <f>IF(C1="",'数据-汇总表'!E3,SUMIF(项目类型,C1,'数据-汇总表'!E17:E26)+SUMIF(项目类型,C1,'数据-汇总表'!I17:I26))</f>
        <v>18448.600000000002</v>
      </c>
      <c r="M18" s="302">
        <f>IF(C1="",'数据-汇总表'!E3,SUMIF(项目类型,C1,'数据-汇总表'!E17:E26))</f>
        <v>18448.600000000002</v>
      </c>
    </row>
    <row r="19" spans="1:36" ht="15">
      <c r="A19" s="1761" t="s">
        <v>1288</v>
      </c>
      <c r="B19" s="1762" t="s">
        <v>1289</v>
      </c>
      <c r="C19" s="134">
        <f ca="1">SUMIF(INDIRECT("'"&amp;C4&amp;"'"&amp;"!A:A"),'结果表(办公)'!B19,INDIRECT("'"&amp;C4&amp;"'"&amp;"!B:B"))</f>
        <v>13</v>
      </c>
      <c r="D19" s="135">
        <f ca="1">SUMIF(INDIRECT("'"&amp;D4&amp;"'"&amp;"!A:A"),'结果表(办公)'!B19,INDIRECT("'"&amp;D4&amp;"'"&amp;"!B:B"))</f>
        <v>3211</v>
      </c>
      <c r="E19" s="1761" t="s">
        <v>1290</v>
      </c>
      <c r="F19" s="1762" t="s">
        <v>1289</v>
      </c>
      <c r="G19" s="136">
        <f ca="1">ROUND(C19*$C$18+D19*$D$18,0)</f>
        <v>1612</v>
      </c>
      <c r="H19" s="1763" t="s">
        <v>1291</v>
      </c>
      <c r="I19" s="129"/>
      <c r="K19" s="302" t="s">
        <v>1292</v>
      </c>
      <c r="L19" s="302">
        <f>IF(C1="",'数据-汇总表'!D3,SUMIF(项目类型,C1,'数据-汇总表'!D17:D26)+SUMIF(项目类型,C1,'数据-汇总表'!H17:H27))</f>
        <v>0</v>
      </c>
      <c r="M19" s="302">
        <f>IF(C1="",'数据-汇总表'!D3,SUMIF(项目类型,C1,'数据-汇总表'!D17:D26))</f>
        <v>0</v>
      </c>
    </row>
    <row r="20" spans="1:36" ht="15">
      <c r="A20" s="1764"/>
      <c r="B20" s="1026" t="s">
        <v>1293</v>
      </c>
      <c r="C20" s="137">
        <f ca="1">SUMIF(INDIRECT("'"&amp;C4&amp;"'"&amp;"!A:A"),'结果表(办公)'!B20,INDIRECT("'"&amp;C4&amp;"'"&amp;"!B:B"))</f>
        <v>7</v>
      </c>
      <c r="D20" s="138">
        <f ca="1">SUMIF(INDIRECT("'"&amp;D4&amp;"'"&amp;"!A:A"),'结果表(办公)'!B20,INDIRECT("'"&amp;D4&amp;"'"&amp;"!B:B"))</f>
        <v>27487</v>
      </c>
      <c r="E20" s="1764"/>
      <c r="F20" s="1026" t="s">
        <v>1293</v>
      </c>
      <c r="G20" s="139">
        <f ca="1">ROUND(C20*$C$18+D20*$D$18,0)</f>
        <v>13747</v>
      </c>
      <c r="H20" s="808" t="s">
        <v>1294</v>
      </c>
      <c r="I20" s="129"/>
    </row>
    <row r="21" spans="1:36" ht="15" customHeight="1" thickBot="1">
      <c r="A21" s="828"/>
      <c r="B21" s="1765" t="s">
        <v>1295</v>
      </c>
      <c r="C21" s="719" t="e">
        <f ca="1">ROUND(C19*10000/L19,0)</f>
        <v>#DIV/0!</v>
      </c>
      <c r="D21" s="720" t="e">
        <f ca="1">ROUND(D19*10000/L19,0)</f>
        <v>#DIV/0!</v>
      </c>
      <c r="E21" s="828"/>
      <c r="F21" s="1765" t="s">
        <v>1295</v>
      </c>
      <c r="G21" s="140" t="e">
        <f ca="1">ROUND(G19*10000/L19,0)</f>
        <v>#DIV/0!</v>
      </c>
      <c r="H21" s="1766" t="s">
        <v>1294</v>
      </c>
      <c r="I21" s="129"/>
    </row>
    <row r="22" spans="1:36" ht="15" thickBot="1">
      <c r="A22" s="1688" t="s">
        <v>1296</v>
      </c>
      <c r="B22" s="1767"/>
      <c r="C22" s="1768"/>
      <c r="D22" s="721">
        <f ca="1">IF(C19&lt;D19,D19/C19-1,C19/D19-1)</f>
        <v>246</v>
      </c>
      <c r="E22" s="129"/>
      <c r="F22" s="129"/>
      <c r="G22" s="129"/>
      <c r="H22" s="129"/>
      <c r="I22" s="129"/>
    </row>
    <row r="23" spans="1:36" ht="13.5" thickBot="1">
      <c r="A23" s="1747"/>
      <c r="B23" s="1747"/>
      <c r="C23" s="1747"/>
      <c r="D23" s="1747"/>
      <c r="E23" s="129"/>
      <c r="F23" s="129"/>
      <c r="G23" s="129"/>
      <c r="H23" s="129"/>
      <c r="I23" s="129"/>
    </row>
    <row r="24" spans="1:36" ht="14.25">
      <c r="A24" s="3764" t="s">
        <v>1297</v>
      </c>
      <c r="B24" s="1762" t="s">
        <v>1289</v>
      </c>
      <c r="C24" s="136">
        <f>IF(B30=0,0,D30)</f>
        <v>0</v>
      </c>
      <c r="D24" s="1769"/>
      <c r="E24" s="129"/>
      <c r="F24" s="129"/>
      <c r="G24" s="129"/>
      <c r="H24" s="129"/>
      <c r="I24" s="129"/>
    </row>
    <row r="25" spans="1:36" ht="14.25">
      <c r="A25" s="3765"/>
      <c r="B25" s="1026" t="s">
        <v>1293</v>
      </c>
      <c r="C25" s="141">
        <f>IF(B30=0,0,C30)</f>
        <v>0</v>
      </c>
      <c r="D25" s="1770"/>
      <c r="E25" s="129"/>
      <c r="F25" s="129"/>
      <c r="G25" s="129"/>
      <c r="H25" s="129"/>
      <c r="I25" s="129"/>
    </row>
    <row r="26" spans="1:36" ht="13.5" customHeight="1">
      <c r="A26" s="1771" t="s">
        <v>1298</v>
      </c>
      <c r="B26" s="142" t="s">
        <v>1299</v>
      </c>
      <c r="C26" s="142" t="s">
        <v>1300</v>
      </c>
      <c r="D26" s="143" t="s">
        <v>1301</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1302</v>
      </c>
      <c r="B30" s="142"/>
      <c r="C30" s="142"/>
      <c r="D30" s="142"/>
      <c r="E30" s="2303" t="s">
        <v>2129</v>
      </c>
      <c r="F30" s="129"/>
      <c r="G30" s="129"/>
      <c r="H30" s="129"/>
      <c r="I30" s="129"/>
    </row>
    <row r="31" spans="1:36" s="2309" customFormat="1" ht="26.45" customHeight="1" thickTop="1" thickBot="1">
      <c r="A31" s="2304"/>
      <c r="B31" s="2305"/>
      <c r="C31" s="2305"/>
      <c r="D31" s="2305"/>
      <c r="E31" s="2305"/>
      <c r="F31" s="2305"/>
      <c r="G31" s="2305"/>
      <c r="H31" s="2305"/>
      <c r="I31" s="2306" t="s">
        <v>2130</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1303</v>
      </c>
      <c r="B32" s="1774"/>
      <c r="C32" s="144">
        <f ca="1">IF(D32="总价",G19-C24,G20-C25)</f>
        <v>13747</v>
      </c>
      <c r="D32" s="1775"/>
      <c r="E32" s="129"/>
      <c r="F32" s="129"/>
      <c r="G32" s="129"/>
      <c r="H32" s="129"/>
      <c r="I32" s="129"/>
    </row>
    <row r="33" spans="1:15" ht="15">
      <c r="A33" s="786" t="s">
        <v>1304</v>
      </c>
      <c r="B33" s="1776"/>
      <c r="C33" s="1777"/>
      <c r="D33" s="1778"/>
      <c r="E33" s="1779" t="s">
        <v>1305</v>
      </c>
      <c r="F33" s="1780" t="str">
        <f>IF(D32="楼面单价","取值（单价）","取值（总价）")</f>
        <v>取值（总价）</v>
      </c>
      <c r="G33" s="129"/>
      <c r="H33" s="129"/>
      <c r="I33" s="129"/>
    </row>
    <row r="34" spans="1:15" ht="15">
      <c r="A34" s="1781"/>
      <c r="B34" s="1782" t="s">
        <v>1306</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1307</v>
      </c>
      <c r="F34" s="1330"/>
      <c r="G34" s="129"/>
      <c r="H34" s="129"/>
      <c r="I34" s="129"/>
    </row>
    <row r="35" spans="1:15" ht="15.75" thickBot="1">
      <c r="A35" s="1784"/>
      <c r="B35" s="1785" t="s">
        <v>1308</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1309</v>
      </c>
      <c r="F35" s="154"/>
      <c r="G35" s="129"/>
      <c r="H35" s="129"/>
      <c r="I35" s="129"/>
    </row>
    <row r="36" spans="1:15" ht="15.75" thickBot="1">
      <c r="A36" s="3784" t="s">
        <v>1310</v>
      </c>
      <c r="B36" s="1787" t="s">
        <v>1311</v>
      </c>
      <c r="C36" s="145"/>
      <c r="D36" s="1788"/>
      <c r="E36" s="1789"/>
      <c r="F36" s="1790"/>
      <c r="G36" s="129"/>
      <c r="H36" s="129"/>
      <c r="I36" s="129"/>
    </row>
    <row r="37" spans="1:15" ht="15.75" thickBot="1">
      <c r="A37" s="3785"/>
      <c r="B37" s="1674" t="s">
        <v>1312</v>
      </c>
      <c r="C37" s="147"/>
      <c r="D37" s="1139"/>
      <c r="E37" s="1139"/>
      <c r="F37" s="1790"/>
      <c r="G37" s="129"/>
      <c r="H37" s="129"/>
      <c r="I37" s="129"/>
    </row>
    <row r="38" spans="1:15" ht="15.75" thickBot="1">
      <c r="A38" s="3786"/>
      <c r="B38" s="1791" t="s">
        <v>1313</v>
      </c>
      <c r="C38" s="674"/>
      <c r="D38" s="1792" t="s">
        <v>1314</v>
      </c>
      <c r="E38" s="1139"/>
      <c r="F38" s="1790"/>
      <c r="G38" s="129"/>
      <c r="H38" s="129"/>
      <c r="I38" s="129"/>
    </row>
    <row r="39" spans="1:15" ht="15">
      <c r="A39" s="1764" t="s">
        <v>1315</v>
      </c>
      <c r="B39" s="1793" t="s">
        <v>1299</v>
      </c>
      <c r="C39" s="1794" t="s">
        <v>1300</v>
      </c>
      <c r="D39" s="1794" t="s">
        <v>1318</v>
      </c>
      <c r="E39" s="1795" t="s">
        <v>1301</v>
      </c>
      <c r="F39" s="1790"/>
      <c r="G39" s="129"/>
      <c r="H39" s="129"/>
      <c r="I39" s="129"/>
    </row>
    <row r="40" spans="1:15" ht="14.25">
      <c r="A40" s="1796" t="s">
        <v>1320</v>
      </c>
      <c r="B40" s="149"/>
      <c r="C40" s="150"/>
      <c r="D40" s="150"/>
      <c r="E40" s="151"/>
      <c r="F40" s="1790"/>
      <c r="G40" s="129"/>
      <c r="H40" s="129"/>
      <c r="I40" s="129"/>
    </row>
    <row r="41" spans="1:15" ht="14.25">
      <c r="A41" s="1796" t="s">
        <v>1321</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1322</v>
      </c>
      <c r="B44" s="1801"/>
      <c r="C44" s="1801"/>
      <c r="D44" s="1802"/>
      <c r="E44" s="1802"/>
      <c r="F44" s="1803"/>
      <c r="G44" s="1803"/>
      <c r="H44" s="1803"/>
      <c r="I44" s="1803"/>
      <c r="J44" s="1804" t="s">
        <v>1323</v>
      </c>
      <c r="K44" s="1805"/>
      <c r="L44" s="1805"/>
      <c r="M44" s="1805"/>
      <c r="N44" s="1805"/>
      <c r="O44" s="1805"/>
    </row>
    <row r="45" spans="1:15" ht="14.25" customHeight="1" thickBot="1">
      <c r="A45" s="3761" t="s">
        <v>1324</v>
      </c>
      <c r="B45" s="3762"/>
      <c r="C45" s="3763"/>
      <c r="D45" s="155" t="e">
        <f ca="1">ROUND(H101*F45,0)</f>
        <v>#REF!</v>
      </c>
      <c r="E45" s="156" t="s">
        <v>1325</v>
      </c>
      <c r="F45" s="157">
        <v>1</v>
      </c>
      <c r="G45" s="158" t="s">
        <v>1326</v>
      </c>
      <c r="H45" s="129"/>
      <c r="I45" s="129"/>
      <c r="J45" s="3839" t="s">
        <v>1327</v>
      </c>
      <c r="K45" s="3839"/>
      <c r="L45" s="3839"/>
      <c r="M45" s="3839"/>
      <c r="N45" s="3839"/>
      <c r="O45" s="3839"/>
    </row>
    <row r="46" spans="1:15" ht="14.25" customHeight="1">
      <c r="A46" s="3758" t="s">
        <v>1328</v>
      </c>
      <c r="B46" s="3759"/>
      <c r="C46" s="3759"/>
      <c r="D46" s="3759"/>
      <c r="E46" s="3759"/>
      <c r="F46" s="3759"/>
      <c r="G46" s="3760"/>
      <c r="H46" s="1806"/>
      <c r="I46" s="159"/>
      <c r="J46" s="3458">
        <v>1</v>
      </c>
      <c r="K46" s="3820" t="s">
        <v>1329</v>
      </c>
      <c r="L46" s="3820"/>
      <c r="M46" s="3840"/>
      <c r="N46" s="3840"/>
      <c r="O46" s="3840"/>
    </row>
    <row r="47" spans="1:15" ht="12" customHeight="1">
      <c r="A47" s="160" t="s">
        <v>1330</v>
      </c>
      <c r="B47" s="161"/>
      <c r="C47" s="162"/>
      <c r="D47" s="1087" t="s">
        <v>1331</v>
      </c>
      <c r="E47" s="302" t="s">
        <v>1332</v>
      </c>
      <c r="F47" s="163" t="s">
        <v>1333</v>
      </c>
      <c r="G47" s="2546" t="s">
        <v>1334</v>
      </c>
      <c r="H47" s="2547"/>
      <c r="I47" s="159"/>
      <c r="J47" s="3458">
        <v>2</v>
      </c>
      <c r="K47" s="3820" t="s">
        <v>1335</v>
      </c>
      <c r="L47" s="3820"/>
      <c r="M47" s="3841">
        <f>'数据-取费表'!B2</f>
        <v>45400</v>
      </c>
      <c r="N47" s="3841"/>
      <c r="O47" s="3841"/>
    </row>
    <row r="48" spans="1:15" ht="25.5">
      <c r="A48" s="3789" t="s">
        <v>1336</v>
      </c>
      <c r="B48" s="3772"/>
      <c r="C48" s="3772"/>
      <c r="D48" s="3453" t="b">
        <f>IF(H48="情况1",0,IF(H48="情况2",D52,IF(H48="情况3",D53,IF(H48="情况4",D54))))</f>
        <v>0</v>
      </c>
      <c r="E48" s="3468" t="str">
        <f>IF(H48="情况4","(销售额-原购置价)×税（费）率","销售额×税（费）率")</f>
        <v>销售额×税（费）率</v>
      </c>
      <c r="F48" s="2548">
        <f>IF(H48="情况1","免征",'数据-取费表'!B41)</f>
        <v>5.6000000000000001E-2</v>
      </c>
      <c r="G48" s="2549" t="s">
        <v>1337</v>
      </c>
      <c r="H48" s="2550"/>
      <c r="I48" s="1806"/>
      <c r="J48" s="3458">
        <v>3</v>
      </c>
      <c r="K48" s="3820" t="s">
        <v>1338</v>
      </c>
      <c r="L48" s="3820"/>
      <c r="M48" s="3842" t="e">
        <f ca="1">H101</f>
        <v>#REF!</v>
      </c>
      <c r="N48" s="3842"/>
      <c r="O48" s="3842"/>
    </row>
    <row r="49" spans="1:35" ht="25.5" customHeight="1">
      <c r="A49" s="3467" t="s">
        <v>1339</v>
      </c>
      <c r="B49" s="3756" t="s">
        <v>1340</v>
      </c>
      <c r="C49" s="3756"/>
      <c r="D49" s="1590">
        <v>0</v>
      </c>
      <c r="E49" s="324" t="s">
        <v>1341</v>
      </c>
      <c r="F49" s="3451" t="s">
        <v>28</v>
      </c>
      <c r="G49" s="3826"/>
      <c r="H49" s="2310" t="s">
        <v>2131</v>
      </c>
      <c r="I49" s="2311"/>
      <c r="J49" s="3458">
        <v>4</v>
      </c>
      <c r="K49" s="3820" t="str">
        <f>IF(项目基本情况!E8="房地产抵押价值","房地产抵押价值","抵押担保权已注销时的房地产抵押价值")</f>
        <v>房地产抵押价值</v>
      </c>
      <c r="L49" s="3820"/>
      <c r="M49" s="3842" t="str">
        <f ca="1">IF(项目基本情况!E8="房地产抵押价值",H107,H109)</f>
        <v>——</v>
      </c>
      <c r="N49" s="3842"/>
      <c r="O49" s="3842"/>
    </row>
    <row r="50" spans="1:35" ht="25.5" customHeight="1">
      <c r="A50" s="2551"/>
      <c r="B50" s="3756" t="s">
        <v>1342</v>
      </c>
      <c r="C50" s="3756"/>
      <c r="D50" s="2552"/>
      <c r="E50" s="332"/>
      <c r="F50" s="3451"/>
      <c r="G50" s="3827"/>
      <c r="H50" s="2312" t="s">
        <v>2132</v>
      </c>
      <c r="I50" s="2311"/>
      <c r="J50" s="3839" t="s">
        <v>1343</v>
      </c>
      <c r="K50" s="3839"/>
      <c r="L50" s="3839"/>
      <c r="M50" s="3839"/>
      <c r="N50" s="3839"/>
      <c r="O50" s="3839"/>
    </row>
    <row r="51" spans="1:35" ht="20.45" customHeight="1">
      <c r="A51" s="2553"/>
      <c r="B51" s="3756" t="s">
        <v>1344</v>
      </c>
      <c r="C51" s="3756"/>
      <c r="D51" s="1087"/>
      <c r="E51" s="327"/>
      <c r="F51" s="3451"/>
      <c r="G51" s="3828"/>
      <c r="H51" s="2312" t="s">
        <v>2133</v>
      </c>
      <c r="I51" s="2311"/>
      <c r="J51" s="3452" t="s">
        <v>1345</v>
      </c>
      <c r="K51" s="3820" t="s">
        <v>1346</v>
      </c>
      <c r="L51" s="3820"/>
      <c r="M51" s="3452" t="s">
        <v>1347</v>
      </c>
      <c r="N51" s="3452" t="s">
        <v>1348</v>
      </c>
      <c r="O51" s="3452" t="s">
        <v>1349</v>
      </c>
    </row>
    <row r="52" spans="1:35" ht="24" customHeight="1">
      <c r="A52" s="3470" t="s">
        <v>1350</v>
      </c>
      <c r="B52" s="3756" t="s">
        <v>1351</v>
      </c>
      <c r="C52" s="3756"/>
      <c r="D52" s="1087" t="e">
        <f ca="1">ROUND(D45*'数据-取费表'!B41/(1+'数据-取费表'!C42),0)</f>
        <v>#REF!</v>
      </c>
      <c r="E52" s="3468" t="s">
        <v>1352</v>
      </c>
      <c r="F52" s="2554">
        <f>'数据-取费表'!B41</f>
        <v>5.6000000000000001E-2</v>
      </c>
      <c r="G52" s="2555"/>
      <c r="H52" s="2544"/>
      <c r="I52" s="1807"/>
      <c r="J52" s="3458">
        <v>1</v>
      </c>
      <c r="K52" s="3821" t="s">
        <v>1353</v>
      </c>
      <c r="L52" s="3821"/>
      <c r="M52" s="2525" t="b">
        <f>D48</f>
        <v>0</v>
      </c>
      <c r="N52" s="3458" t="str">
        <f>E48</f>
        <v>销售额×税（费）率</v>
      </c>
      <c r="O52" s="2526">
        <f>F48</f>
        <v>5.6000000000000001E-2</v>
      </c>
    </row>
    <row r="53" spans="1:35" ht="12" customHeight="1">
      <c r="A53" s="3470" t="s">
        <v>1354</v>
      </c>
      <c r="B53" s="3782" t="s">
        <v>2288</v>
      </c>
      <c r="C53" s="3783"/>
      <c r="D53" s="1087" t="e">
        <f ca="1">ROUND(D45*'数据-取费表'!B41/(1+'数据-取费表'!C42),0)</f>
        <v>#REF!</v>
      </c>
      <c r="E53" s="3468" t="s">
        <v>1352</v>
      </c>
      <c r="F53" s="2554">
        <f>'数据-取费表'!B41</f>
        <v>5.6000000000000001E-2</v>
      </c>
      <c r="G53" s="2555"/>
      <c r="H53" s="2544"/>
      <c r="I53" s="1807"/>
      <c r="J53" s="3458">
        <v>2</v>
      </c>
      <c r="K53" s="3821" t="s">
        <v>1355</v>
      </c>
      <c r="L53" s="3821"/>
      <c r="M53" s="2525" t="e">
        <f t="shared" ref="M53:O54" ca="1" si="0">D55</f>
        <v>#REF!</v>
      </c>
      <c r="N53" s="3458" t="str">
        <f t="shared" si="0"/>
        <v>销售额×税（费）率</v>
      </c>
      <c r="O53" s="2526" t="str">
        <f t="shared" si="0"/>
        <v>免征</v>
      </c>
    </row>
    <row r="54" spans="1:35" ht="12" customHeight="1">
      <c r="A54" s="3470" t="s">
        <v>1356</v>
      </c>
      <c r="B54" s="3782" t="s">
        <v>2289</v>
      </c>
      <c r="C54" s="3783"/>
      <c r="D54" s="1087" t="e">
        <f ca="1">C68</f>
        <v>#REF!</v>
      </c>
      <c r="E54" s="327" t="s">
        <v>1357</v>
      </c>
      <c r="F54" s="2554">
        <f>'数据-取费表'!B41</f>
        <v>5.6000000000000001E-2</v>
      </c>
      <c r="G54" s="2555"/>
      <c r="H54" s="2556"/>
      <c r="I54" s="1807"/>
      <c r="J54" s="3458">
        <v>3</v>
      </c>
      <c r="K54" s="3821" t="s">
        <v>1358</v>
      </c>
      <c r="L54" s="3821"/>
      <c r="M54" s="2525" t="e">
        <f t="shared" ca="1" si="0"/>
        <v>#REF!</v>
      </c>
      <c r="N54" s="3458" t="str">
        <f t="shared" si="0"/>
        <v>增值额×税（费）率</v>
      </c>
      <c r="O54" s="2527" t="str">
        <f t="shared" si="0"/>
        <v>免征</v>
      </c>
    </row>
    <row r="55" spans="1:35" ht="24" customHeight="1">
      <c r="A55" s="3771" t="s">
        <v>1359</v>
      </c>
      <c r="B55" s="3772"/>
      <c r="C55" s="3772"/>
      <c r="D55" s="3453" t="e">
        <f ca="1">IF(H55="个人住宅",0,ROUND(D45*I55,0))</f>
        <v>#REF!</v>
      </c>
      <c r="E55" s="3468" t="s">
        <v>1360</v>
      </c>
      <c r="F55" s="2554" t="str">
        <f>IF(H55="正常",I55,"免征")</f>
        <v>免征</v>
      </c>
      <c r="G55" s="2555"/>
      <c r="H55" s="2550"/>
      <c r="I55" s="165">
        <f>'数据-取费表'!B49</f>
        <v>5.0000000000000001E-4</v>
      </c>
      <c r="J55" s="3458">
        <f>IF(H59="非个人房产","",4)</f>
        <v>4</v>
      </c>
      <c r="K55" s="3821" t="str">
        <f>IF(H59="非个人房产","——","个人所得税")</f>
        <v>个人所得税</v>
      </c>
      <c r="L55" s="3821"/>
      <c r="M55" s="2528" t="e">
        <f ca="1">D59</f>
        <v>#REF!</v>
      </c>
      <c r="N55" s="3459" t="str">
        <f>E59</f>
        <v>差额计税</v>
      </c>
      <c r="O55" s="2529">
        <f>F59</f>
        <v>0.01</v>
      </c>
    </row>
    <row r="56" spans="1:35" ht="24.75">
      <c r="A56" s="3771" t="s">
        <v>1361</v>
      </c>
      <c r="B56" s="3772"/>
      <c r="C56" s="3772"/>
      <c r="D56" s="3453" t="e">
        <f ca="1">IF(H56="个人住宅",D57,D58)</f>
        <v>#REF!</v>
      </c>
      <c r="E56" s="3468" t="s">
        <v>1362</v>
      </c>
      <c r="F56" s="2554" t="str">
        <f>IF(H56="正常",F58,"免征")</f>
        <v>免征</v>
      </c>
      <c r="G56" s="2557" t="s">
        <v>1363</v>
      </c>
      <c r="H56" s="2558"/>
      <c r="I56" s="1808"/>
      <c r="J56" s="3458" t="str">
        <f>IF(项目基本情况!K6="上海银行",IF(J55="",4,J55+1),"")</f>
        <v/>
      </c>
      <c r="K56" s="3844" t="str">
        <f>IF(项目基本情况!K6="上海银行","其他处置费用","")</f>
        <v/>
      </c>
      <c r="L56" s="3845"/>
      <c r="M56" s="2525" t="str">
        <f>IF(项目基本情况!K6="上海银行",M69,"")</f>
        <v/>
      </c>
      <c r="N56" s="3844" t="str">
        <f>IF(项目基本情况!K6="上海银行","包含处置中涉及的律师、诉讼、拍卖、评估等费用","")</f>
        <v/>
      </c>
      <c r="O56" s="3847"/>
    </row>
    <row r="57" spans="1:35" ht="12.75">
      <c r="A57" s="3470" t="s">
        <v>1339</v>
      </c>
      <c r="B57" s="3782" t="s">
        <v>1364</v>
      </c>
      <c r="C57" s="3783"/>
      <c r="D57" s="1590">
        <v>0</v>
      </c>
      <c r="E57" s="324" t="s">
        <v>1341</v>
      </c>
      <c r="F57" s="302"/>
      <c r="G57" s="2555"/>
      <c r="H57" s="2559"/>
      <c r="I57" s="1808"/>
      <c r="J57" s="3821">
        <f>IF(AND(J55="",J56=""),4,IF(项目基本情况!K6="上海银行",'结果表(办公)'!J56+1,'结果表(办公)'!J55+1))</f>
        <v>5</v>
      </c>
      <c r="K57" s="3821" t="s">
        <v>1365</v>
      </c>
      <c r="L57" s="2530" t="s">
        <v>1366</v>
      </c>
      <c r="M57" s="2531"/>
      <c r="N57" s="2532">
        <f ca="1">SUMIF(M52:M56,"&lt;9e307")</f>
        <v>0</v>
      </c>
      <c r="O57" s="2533"/>
      <c r="P57" s="2690" t="e">
        <f ca="1">N57/M49</f>
        <v>#VALUE!</v>
      </c>
    </row>
    <row r="58" spans="1:35" ht="24.75">
      <c r="A58" s="3470" t="s">
        <v>1350</v>
      </c>
      <c r="B58" s="3782" t="s">
        <v>1367</v>
      </c>
      <c r="C58" s="3756"/>
      <c r="D58" s="3453" t="e">
        <f ca="1">IF(H58="转让取得",C81,C97)</f>
        <v>#REF!</v>
      </c>
      <c r="E58" s="3468" t="s">
        <v>1362</v>
      </c>
      <c r="F58" s="302" t="s">
        <v>28</v>
      </c>
      <c r="G58" s="2555"/>
      <c r="H58" s="2558"/>
      <c r="I58" s="1808"/>
      <c r="J58" s="3821"/>
      <c r="K58" s="3821"/>
      <c r="L58" s="2530" t="s">
        <v>1368</v>
      </c>
      <c r="M58" s="2534"/>
      <c r="N58" s="2535" t="str">
        <f ca="1">NUMBERSTRING(INT(N57*10000),2)&amp;"元整"</f>
        <v>零元整</v>
      </c>
      <c r="O58" s="2536"/>
    </row>
    <row r="59" spans="1:35" ht="24.75" thickBot="1">
      <c r="A59" s="3824" t="s">
        <v>1369</v>
      </c>
      <c r="B59" s="3825"/>
      <c r="C59" s="3825"/>
      <c r="D59" s="2560" t="e">
        <f ca="1">IF(H59="非个人房产","——",IF(H59="个人住宅（满五唯一有凭证）",0,IF(H59="个人其他（无凭证）",ROUND(D45*F59,0),ROUND(C67*F59,0))))</f>
        <v>#REF!</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1363</v>
      </c>
      <c r="H59" s="2314"/>
      <c r="I59" s="2313" t="s">
        <v>2134</v>
      </c>
      <c r="J59" s="3822">
        <f>J57+1</f>
        <v>6</v>
      </c>
      <c r="K59" s="3821" t="s">
        <v>1370</v>
      </c>
      <c r="L59" s="3458" t="s">
        <v>1366</v>
      </c>
      <c r="M59" s="2537"/>
      <c r="N59" s="2538" t="e">
        <f ca="1">M49-N57</f>
        <v>#VALUE!</v>
      </c>
      <c r="O59" s="2539"/>
    </row>
    <row r="60" spans="1:35" ht="12" customHeight="1">
      <c r="A60" s="1809"/>
      <c r="B60" s="1747"/>
      <c r="C60" s="1747"/>
      <c r="D60" s="1747"/>
      <c r="E60" s="1578"/>
      <c r="F60" s="1808"/>
      <c r="G60" s="1808"/>
      <c r="H60" s="1810"/>
      <c r="I60" s="129"/>
      <c r="J60" s="3823"/>
      <c r="K60" s="3821"/>
      <c r="L60" s="2530" t="s">
        <v>1368</v>
      </c>
      <c r="M60" s="2534"/>
      <c r="N60" s="2535" t="e">
        <f ca="1">NUMBERSTRING(INT(N59*10000),2)&amp;"元整"</f>
        <v>#VALUE!</v>
      </c>
      <c r="O60" s="2536"/>
    </row>
    <row r="61" spans="1:35" ht="13.5" thickBot="1">
      <c r="A61" s="3769" t="s">
        <v>1371</v>
      </c>
      <c r="B61" s="3769"/>
      <c r="C61" s="3769"/>
      <c r="D61" s="3769"/>
      <c r="E61" s="3769"/>
      <c r="F61" s="1808"/>
      <c r="G61" s="1808"/>
      <c r="H61" s="1810"/>
      <c r="I61" s="129"/>
      <c r="J61" s="3458">
        <f>J59+1</f>
        <v>7</v>
      </c>
      <c r="K61" s="3821" t="s">
        <v>1372</v>
      </c>
      <c r="L61" s="3821"/>
      <c r="M61" s="2540"/>
      <c r="N61" s="2541" t="e">
        <f ca="1">ROUND(N59*10000/'数据-汇总表'!E3,0)</f>
        <v>#VALUE!</v>
      </c>
      <c r="O61" s="2542"/>
    </row>
    <row r="62" spans="1:35" ht="12.75">
      <c r="A62" s="3787" t="s">
        <v>1373</v>
      </c>
      <c r="B62" s="3788"/>
      <c r="C62" s="3463"/>
      <c r="D62" s="3463" t="s">
        <v>1374</v>
      </c>
      <c r="E62" s="166" t="s">
        <v>1375</v>
      </c>
      <c r="F62" s="1808"/>
      <c r="G62" s="1808"/>
      <c r="H62" s="1810"/>
      <c r="I62" s="129"/>
    </row>
    <row r="63" spans="1:35" ht="12.75">
      <c r="A63" s="173" t="s">
        <v>330</v>
      </c>
      <c r="B63" s="167" t="s">
        <v>1376</v>
      </c>
      <c r="C63" s="2564" t="e">
        <f ca="1">ROUND((C64+C65)/(1+'数据-取费表'!C42),0)</f>
        <v>#REF!</v>
      </c>
      <c r="D63" s="167"/>
      <c r="E63" s="168"/>
      <c r="F63" s="1808"/>
      <c r="G63" s="1808"/>
      <c r="H63" s="1810"/>
      <c r="I63" s="129"/>
      <c r="J63" s="3846" t="s">
        <v>1377</v>
      </c>
      <c r="K63" s="3454" t="s">
        <v>1378</v>
      </c>
      <c r="L63" s="3454" t="e">
        <f ca="1">IF(M49&gt;10000,M49*0.5%,IF(AND(M49&gt;1000,M49&lt;=10000),M49*1%,IF(AND(M49&gt;100,M49&lt;=1000),M49*3%,IF(AND(M49&gt;10,M49&lt;=100),M49*5%,M49*8%))))</f>
        <v>#VALUE!</v>
      </c>
      <c r="M63" s="302" t="e">
        <f ca="1">ROUND(L63,1)</f>
        <v>#VALUE!</v>
      </c>
      <c r="N63" s="2543"/>
      <c r="Z63" s="1752"/>
      <c r="AI63" s="1753"/>
    </row>
    <row r="64" spans="1:35" ht="14.25" customHeight="1">
      <c r="A64" s="169" t="s">
        <v>325</v>
      </c>
      <c r="B64" s="170" t="s">
        <v>1379</v>
      </c>
      <c r="C64" s="2565" t="e">
        <f ca="1">D45</f>
        <v>#REF!</v>
      </c>
      <c r="D64" s="170" t="s">
        <v>26</v>
      </c>
      <c r="E64" s="172"/>
      <c r="F64" s="1808"/>
      <c r="G64" s="1808"/>
      <c r="H64" s="1810"/>
      <c r="I64" s="129"/>
      <c r="J64" s="3846"/>
      <c r="K64" s="3454" t="s">
        <v>1380</v>
      </c>
      <c r="L64" s="3454" t="e">
        <f ca="1">IF(M49&gt;2000,M49*0.5%,IF(AND(M49&gt;1000,M49&lt;=2000),M49*0.6%,IF(AND(M49&gt;500,M49&lt;=1000),M49*0.7%,IF(AND(M49&gt;200,M49&lt;=500),M49*0.8%,IF(AND(M49&gt;100,M49&lt;=200),M49*0.9%,IF(AND(M49&gt;50,M49&lt;=100),M49*1%,IF(AND(M49&gt;20,M49&lt;=50),M49*1.5%,IF(AND(M49&gt;10,M49&lt;=20),M49*2%,IF(AND(M49&gt;1,M49&lt;=10),M49*2.5%)))))))))</f>
        <v>#VALUE!</v>
      </c>
      <c r="M64" s="302" t="e">
        <f t="shared" ref="M64:M65" ca="1" si="1">ROUND(L64,1)</f>
        <v>#VALUE!</v>
      </c>
      <c r="N64" s="2544" t="s">
        <v>1381</v>
      </c>
      <c r="Z64" s="1752"/>
      <c r="AI64" s="1753"/>
    </row>
    <row r="65" spans="1:35" ht="14.25" customHeight="1">
      <c r="A65" s="169" t="s">
        <v>326</v>
      </c>
      <c r="B65" s="170" t="s">
        <v>1382</v>
      </c>
      <c r="C65" s="2566"/>
      <c r="D65" s="170"/>
      <c r="E65" s="172"/>
      <c r="F65" s="1808"/>
      <c r="G65" s="1808"/>
      <c r="H65" s="1810"/>
      <c r="I65" s="129"/>
      <c r="J65" s="3846"/>
      <c r="K65" s="3454" t="s">
        <v>1383</v>
      </c>
      <c r="L65" s="3454" t="e">
        <f ca="1">IF(M49&gt;1000,M49*0.1%,IF(AND(M49&gt;500,M49&lt;=1000),M49*0.5%,IF(AND(M49&gt;50,M49&lt;=500),M49*1%,IF(AND(M49&gt;1,M49&lt;=50),M49*1.5%))))</f>
        <v>#VALUE!</v>
      </c>
      <c r="M65" s="302" t="e">
        <f t="shared" ca="1" si="1"/>
        <v>#VALUE!</v>
      </c>
      <c r="N65" s="2544" t="s">
        <v>1381</v>
      </c>
      <c r="Z65" s="1752"/>
      <c r="AI65" s="1753"/>
    </row>
    <row r="66" spans="1:35" ht="14.25" customHeight="1">
      <c r="A66" s="173" t="s">
        <v>327</v>
      </c>
      <c r="B66" s="174" t="s">
        <v>1384</v>
      </c>
      <c r="C66" s="2567"/>
      <c r="D66" s="174" t="s">
        <v>26</v>
      </c>
      <c r="E66" s="1338" t="s">
        <v>669</v>
      </c>
      <c r="F66" s="1808"/>
      <c r="G66" s="1808"/>
      <c r="H66" s="1810"/>
      <c r="I66" s="129"/>
      <c r="J66" s="3846"/>
      <c r="K66" s="3454" t="s">
        <v>1385</v>
      </c>
      <c r="L66" s="3454" t="e">
        <f ca="1">M49*0.5%</f>
        <v>#VALUE!</v>
      </c>
      <c r="M66" s="302" t="e">
        <f ca="1">IF(L66&gt;0.5,0.5,ROUND(L66,0))</f>
        <v>#VALUE!</v>
      </c>
      <c r="N66" s="2544" t="s">
        <v>1386</v>
      </c>
      <c r="Z66" s="1752"/>
      <c r="AI66" s="1753"/>
    </row>
    <row r="67" spans="1:35" ht="14.25" customHeight="1">
      <c r="A67" s="173" t="s">
        <v>328</v>
      </c>
      <c r="B67" s="174" t="s">
        <v>1387</v>
      </c>
      <c r="C67" s="2568" t="e">
        <f ca="1">C63-C66</f>
        <v>#REF!</v>
      </c>
      <c r="D67" s="170" t="s">
        <v>26</v>
      </c>
      <c r="E67" s="172"/>
      <c r="F67" s="1808"/>
      <c r="G67" s="1808"/>
      <c r="H67" s="1810"/>
      <c r="I67" s="129"/>
      <c r="J67" s="3846"/>
      <c r="K67" s="3454" t="s">
        <v>1388</v>
      </c>
      <c r="L67" s="3454" t="e">
        <f ca="1">IF(M49&gt;=10000,(8.25+(M49-10000)*0.01%),IF(AND(M49&gt;=8000,M49&lt;10000),(7.85+(M49-8000)*0.02%),IF(AND(M49&gt;=5000,M49&lt;8000),(6.65+(M49-5000)*0.04%),IF(AND(M49&gt;=2000,M49&lt;5000),(4.25+(PM49-2000)*0.08%),IF(AND(M49&gt;=1000,M49&lt;2000),(2.75+(M49-1000)*0.15%),IF(AND(M49&gt;=100,M49&lt;1000),(0.5+(M49-100)*0.25%),IF(AND(M49&gt;0,M49&lt;100),M49*0.5%)))))))</f>
        <v>#VALUE!</v>
      </c>
      <c r="M67" s="302" t="e">
        <f ca="1">ROUND(L67*0.9,1)</f>
        <v>#VALUE!</v>
      </c>
      <c r="N67" s="2543"/>
      <c r="Z67" s="1752"/>
      <c r="AI67" s="1753"/>
    </row>
    <row r="68" spans="1:35" ht="14.25" customHeight="1" thickBot="1">
      <c r="A68" s="176" t="s">
        <v>329</v>
      </c>
      <c r="B68" s="177" t="s">
        <v>1389</v>
      </c>
      <c r="C68" s="2569" t="e">
        <f ca="1">IF(C67&lt;=0,0,ROUND(C67*D68,0))</f>
        <v>#REF!</v>
      </c>
      <c r="D68" s="2570">
        <f>'数据-取费表'!B41</f>
        <v>5.6000000000000001E-2</v>
      </c>
      <c r="E68" s="178"/>
      <c r="F68" s="1808"/>
      <c r="G68" s="1808"/>
      <c r="H68" s="1810"/>
      <c r="I68" s="129"/>
      <c r="J68" s="3846"/>
      <c r="K68" s="3454" t="s">
        <v>1390</v>
      </c>
      <c r="L68" s="3454" t="e">
        <f ca="1">IF(M49&gt;10000,M49*0.5%,IF(AND(M49&gt;5000,M49&lt;=10000),M49*1%,IF(AND(M49&gt;1000,M49&lt;=5000),M49*2%,IF(AND(M49&gt;200,M49&lt;=1000),M49*3%,M49*5%))))</f>
        <v>#VALUE!</v>
      </c>
      <c r="M68" s="302" t="e">
        <f ca="1">ROUND(L68,1)</f>
        <v>#VALUE!</v>
      </c>
      <c r="N68" s="2543"/>
      <c r="Z68" s="1752"/>
      <c r="AI68" s="1753"/>
    </row>
    <row r="69" spans="1:35" s="1772" customFormat="1" ht="16.5" customHeight="1">
      <c r="A69" s="1811"/>
      <c r="B69" s="1812"/>
      <c r="C69" s="1813"/>
      <c r="D69" s="1814"/>
      <c r="E69" s="1815"/>
      <c r="F69" s="1578"/>
      <c r="G69" s="1578"/>
      <c r="H69" s="1577"/>
      <c r="I69" s="1747"/>
      <c r="J69" s="3846"/>
      <c r="K69" s="3454" t="s">
        <v>1391</v>
      </c>
      <c r="L69" s="3454"/>
      <c r="M69" s="302" t="e">
        <f ca="1">ROUND(SUM(M63:M68),0)</f>
        <v>#VALUE!</v>
      </c>
      <c r="N69" s="2545" t="e">
        <f ca="1">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808" t="s">
        <v>1392</v>
      </c>
      <c r="B70" s="3809"/>
      <c r="C70" s="3809"/>
      <c r="D70" s="3809"/>
      <c r="E70" s="3809"/>
      <c r="F70" s="3809"/>
      <c r="G70" s="3809"/>
      <c r="H70" s="3809"/>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787" t="s">
        <v>1373</v>
      </c>
      <c r="B71" s="3788"/>
      <c r="C71" s="3463"/>
      <c r="D71" s="3463" t="s">
        <v>1374</v>
      </c>
      <c r="E71" s="179" t="s">
        <v>1375</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1393</v>
      </c>
      <c r="C72" s="2568" t="e">
        <f ca="1">ROUND(D45/(1+'数据-取费表'!C42),0)</f>
        <v>#REF!</v>
      </c>
      <c r="D72" s="170" t="s">
        <v>26</v>
      </c>
      <c r="E72" s="3465"/>
      <c r="F72" s="3464"/>
      <c r="G72" s="3464"/>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1394</v>
      </c>
      <c r="C73" s="2568" t="e">
        <f ca="1">C74+C78</f>
        <v>#REF!</v>
      </c>
      <c r="D73" s="170" t="s">
        <v>26</v>
      </c>
      <c r="E73" s="3465"/>
      <c r="F73" s="3464"/>
      <c r="G73" s="3464"/>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1395</v>
      </c>
      <c r="C74" s="170">
        <f>ROUND(IF(G77="2016年5月1日后购买",C75/(1+'数据-取费表'!C42)+C76+C77,C75+C76+C77),0)</f>
        <v>0</v>
      </c>
      <c r="D74" s="170" t="s">
        <v>26</v>
      </c>
      <c r="E74" s="3465"/>
      <c r="F74" s="3464"/>
      <c r="G74" s="3464"/>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1396</v>
      </c>
      <c r="C75" s="2571"/>
      <c r="D75" s="170" t="s">
        <v>26</v>
      </c>
      <c r="E75" s="184" t="s">
        <v>1397</v>
      </c>
      <c r="F75" s="2572"/>
      <c r="G75" s="184" t="s">
        <v>1398</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1399</v>
      </c>
      <c r="C76" s="170">
        <f>IF(F75="购房发票",ROUND(C75*H75*D76,0),0)</f>
        <v>0</v>
      </c>
      <c r="D76" s="2574">
        <v>0.05</v>
      </c>
      <c r="E76" s="3782" t="s">
        <v>1400</v>
      </c>
      <c r="F76" s="3756"/>
      <c r="G76" s="3756"/>
      <c r="H76" s="380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1401</v>
      </c>
      <c r="C77" s="170">
        <f>ROUND(IF(G77="个人住宅",0,IF(G77="2016年5月1日前购买",C75*D77,C75*D77/(1+'数据-取费表'!C42))),0)</f>
        <v>0</v>
      </c>
      <c r="D77" s="2575">
        <f>'数据-取费表'!B48+'数据-取费表'!B49</f>
        <v>3.0499999999999999E-2</v>
      </c>
      <c r="E77" s="3453" t="s">
        <v>1402</v>
      </c>
      <c r="F77" s="186"/>
      <c r="G77" s="1822"/>
      <c r="H77" s="3466"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1403</v>
      </c>
      <c r="C78" s="2576" t="e">
        <f ca="1">ROUND(D45*D78/(1+'数据-取费表'!C42),0)</f>
        <v>#REF!</v>
      </c>
      <c r="D78" s="2577">
        <f>'数据-取费表'!B43</f>
        <v>6.000000000000001E-3</v>
      </c>
      <c r="E78" s="3766" t="s">
        <v>1404</v>
      </c>
      <c r="F78" s="3767"/>
      <c r="G78" s="3767"/>
      <c r="H78" s="377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328</v>
      </c>
      <c r="B79" s="174" t="s">
        <v>1405</v>
      </c>
      <c r="C79" s="2568" t="e">
        <f ca="1">C72-C73</f>
        <v>#REF!</v>
      </c>
      <c r="D79" s="170" t="s">
        <v>26</v>
      </c>
      <c r="E79" s="3465"/>
      <c r="F79" s="3464"/>
      <c r="G79" s="3464"/>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1406</v>
      </c>
      <c r="C80" s="2578" t="e">
        <f ca="1">IF(C79&lt;=0,0,C79/C73)</f>
        <v>#REF!</v>
      </c>
      <c r="D80" s="170" t="s">
        <v>26</v>
      </c>
      <c r="E80" s="3453" t="e">
        <f ca="1">IF(C80&gt;=200%,"增值额超过扣除项目金额200%",IF(C80&gt;=100%,"增值额超过扣除项目金额100%，未超过200%",IF(C80&gt;=50%,"增值额超过扣除项目金额50%，未超过100%",IF(C80&lt;50%,"增值额未超过扣除项目金额50%"))))</f>
        <v>#REF!</v>
      </c>
      <c r="F80" s="3464"/>
      <c r="G80" s="3464"/>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1407</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808" t="s">
        <v>1408</v>
      </c>
      <c r="B83" s="3809"/>
      <c r="C83" s="3809"/>
      <c r="D83" s="3809"/>
      <c r="E83" s="3809"/>
      <c r="F83" s="3809"/>
      <c r="G83" s="3809"/>
      <c r="H83" s="380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787" t="s">
        <v>1373</v>
      </c>
      <c r="B84" s="3788"/>
      <c r="C84" s="3463"/>
      <c r="D84" s="3463" t="s">
        <v>1374</v>
      </c>
      <c r="E84" s="179" t="s">
        <v>1375</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1393</v>
      </c>
      <c r="C85" s="2568" t="e">
        <f ca="1">ROUND(D45/(1+'数据-取费表'!C42),0)</f>
        <v>#REF!</v>
      </c>
      <c r="D85" s="170" t="s">
        <v>26</v>
      </c>
      <c r="E85" s="3465"/>
      <c r="F85" s="3464"/>
      <c r="G85" s="3464"/>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1394</v>
      </c>
      <c r="C86" s="2568" t="e">
        <f ca="1">IF(H88="仅含出让金",C87+C90+C91+C92+C93+C94,C87+C91+C92+C93+C94)</f>
        <v>#REF!</v>
      </c>
      <c r="D86" s="2581"/>
      <c r="E86" s="3465"/>
      <c r="F86" s="3464"/>
      <c r="G86" s="3464"/>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1409</v>
      </c>
      <c r="C87" s="2576">
        <f>C88+C89</f>
        <v>0</v>
      </c>
      <c r="D87" s="2577"/>
      <c r="E87" s="3460"/>
      <c r="F87" s="3461"/>
      <c r="G87" s="3461"/>
      <c r="H87" s="3462"/>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1410</v>
      </c>
      <c r="C88" s="2582"/>
      <c r="D88" s="2577"/>
      <c r="E88" s="193" t="s">
        <v>1411</v>
      </c>
      <c r="F88" s="3461"/>
      <c r="G88" s="194" t="s">
        <v>1412</v>
      </c>
      <c r="H88" s="1824"/>
      <c r="I88" s="1821"/>
      <c r="J88" s="2521" t="s">
        <v>2285</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1401</v>
      </c>
      <c r="C89" s="2576">
        <f>ROUND(C88*D89,0)</f>
        <v>0</v>
      </c>
      <c r="D89" s="2577">
        <f>'数据-取费表'!B48+'数据-取费表'!B49</f>
        <v>3.0499999999999999E-2</v>
      </c>
      <c r="E89" s="193" t="s">
        <v>1413</v>
      </c>
      <c r="F89" s="3461"/>
      <c r="G89" s="3461"/>
      <c r="H89" s="3462"/>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1414</v>
      </c>
      <c r="C90" s="2582"/>
      <c r="D90" s="2577"/>
      <c r="E90" s="193" t="str">
        <f>IF(H88="-","土地取得成本中已包含该笔费用"," ")</f>
        <v xml:space="preserve"> </v>
      </c>
      <c r="F90" s="3461"/>
      <c r="G90" s="3848" t="s">
        <v>2126</v>
      </c>
      <c r="H90" s="3849"/>
      <c r="I90" s="1821"/>
      <c r="J90" s="2521" t="s">
        <v>2286</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1415</v>
      </c>
      <c r="B91" s="170" t="s">
        <v>1416</v>
      </c>
      <c r="C91" s="2576">
        <f>IF(H91="——",成本法!C33,I91)</f>
        <v>0</v>
      </c>
      <c r="D91" s="2577"/>
      <c r="E91" s="3766" t="s">
        <v>1417</v>
      </c>
      <c r="F91" s="3767"/>
      <c r="G91" s="376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1418</v>
      </c>
      <c r="B92" s="170" t="s">
        <v>1419</v>
      </c>
      <c r="C92" s="2576">
        <f>ROUND((C87+C90+C91)*D92,0)</f>
        <v>0</v>
      </c>
      <c r="D92" s="2583"/>
      <c r="E92" s="3766" t="s">
        <v>1420</v>
      </c>
      <c r="F92" s="3767"/>
      <c r="G92" s="3767"/>
      <c r="H92" s="3776"/>
      <c r="I92" s="1821"/>
      <c r="J92" s="2522" t="s">
        <v>2287</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1421</v>
      </c>
      <c r="B93" s="170" t="s">
        <v>1403</v>
      </c>
      <c r="C93" s="2576" t="e">
        <f ca="1">ROUND(D45*D93/(1+'数据-取费表'!C42),0)</f>
        <v>#REF!</v>
      </c>
      <c r="D93" s="2577">
        <f>'数据-取费表'!B43</f>
        <v>6.000000000000001E-3</v>
      </c>
      <c r="E93" s="3766" t="s">
        <v>1404</v>
      </c>
      <c r="F93" s="3767"/>
      <c r="G93" s="3767"/>
      <c r="H93" s="377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1422</v>
      </c>
      <c r="B94" s="170" t="s">
        <v>1423</v>
      </c>
      <c r="C94" s="2582">
        <f>ROUND((C87+C90+C91)*D94,0)</f>
        <v>0</v>
      </c>
      <c r="D94" s="2577">
        <v>0.2</v>
      </c>
      <c r="E94" s="3777" t="s">
        <v>1424</v>
      </c>
      <c r="F94" s="3778"/>
      <c r="G94" s="3778"/>
      <c r="H94" s="377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328</v>
      </c>
      <c r="B95" s="174" t="s">
        <v>1405</v>
      </c>
      <c r="C95" s="2568" t="e">
        <f ca="1">ROUND(C85-C86,0)</f>
        <v>#REF!</v>
      </c>
      <c r="D95" s="170" t="s">
        <v>26</v>
      </c>
      <c r="E95" s="3465"/>
      <c r="F95" s="3464"/>
      <c r="G95" s="3464"/>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1406</v>
      </c>
      <c r="C96" s="2578" t="e">
        <f ca="1">IF(C95&lt;=0,0,C95/C86)</f>
        <v>#REF!</v>
      </c>
      <c r="D96" s="170" t="s">
        <v>26</v>
      </c>
      <c r="E96" s="3453" t="e">
        <f ca="1">IF(C96&gt;=200%,"增值额超过扣除项目金额200%",IF(C96&gt;=100%,"增值额超过扣除项目金额100%，未超过200%",IF(C96&gt;=50%,"增值额超过扣除项目金额50%，未超过100%",IF(C96&lt;50%,"增值额未超过扣除项目金额50%"))))</f>
        <v>#REF!</v>
      </c>
      <c r="F96" s="3464"/>
      <c r="G96" s="3464"/>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1407</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1425</v>
      </c>
      <c r="B99" s="1747"/>
      <c r="C99" s="1747"/>
      <c r="D99" s="1747"/>
      <c r="E99" s="1578"/>
      <c r="F99" s="1578"/>
      <c r="G99" s="1578"/>
      <c r="H99" s="1577"/>
      <c r="I99" s="129"/>
    </row>
    <row r="100" spans="1:35" ht="18.75" customHeight="1">
      <c r="A100" s="3750" t="s">
        <v>1426</v>
      </c>
      <c r="B100" s="3751"/>
      <c r="C100" s="3751"/>
      <c r="D100" s="3768"/>
      <c r="E100" s="3751" t="s">
        <v>1427</v>
      </c>
      <c r="F100" s="3751"/>
      <c r="G100" s="3751"/>
      <c r="H100" s="3768"/>
      <c r="I100" s="129"/>
    </row>
    <row r="101" spans="1:35" ht="18.75" customHeight="1">
      <c r="A101" s="3829" t="s">
        <v>1428</v>
      </c>
      <c r="B101" s="3830"/>
      <c r="C101" s="2585" t="str">
        <f>C4</f>
        <v>比较法-办公</v>
      </c>
      <c r="D101" s="2586" t="str">
        <f>D4</f>
        <v>收益法</v>
      </c>
      <c r="E101" s="3843" t="s">
        <v>1429</v>
      </c>
      <c r="F101" s="3800"/>
      <c r="G101" s="1827" t="s">
        <v>1430</v>
      </c>
      <c r="H101" s="2595" t="e">
        <f ca="1">H118</f>
        <v>#REF!</v>
      </c>
      <c r="I101" s="129"/>
    </row>
    <row r="102" spans="1:35" ht="18.75" customHeight="1">
      <c r="A102" s="3802" t="s">
        <v>1431</v>
      </c>
      <c r="B102" s="2584" t="s">
        <v>1430</v>
      </c>
      <c r="C102" s="2585">
        <f ca="1">IF(D32="楼面单价",ROUND(C19,0),C19)</f>
        <v>13</v>
      </c>
      <c r="D102" s="2586">
        <f ca="1">IF(D32="楼面单价",ROUND(D19,0),D19)</f>
        <v>3211</v>
      </c>
      <c r="E102" s="3843"/>
      <c r="F102" s="3800"/>
      <c r="G102" s="1827" t="s">
        <v>1432</v>
      </c>
      <c r="H102" s="2555" t="e">
        <f ca="1">I118</f>
        <v>#REF!</v>
      </c>
      <c r="I102" s="129"/>
    </row>
    <row r="103" spans="1:35" ht="42.75" customHeight="1">
      <c r="A103" s="3802"/>
      <c r="B103" s="2584" t="s">
        <v>1432</v>
      </c>
      <c r="C103" s="2587">
        <f ca="1">C20</f>
        <v>7</v>
      </c>
      <c r="D103" s="2588">
        <f ca="1">D20</f>
        <v>27487</v>
      </c>
      <c r="E103" s="3837" t="s">
        <v>1433</v>
      </c>
      <c r="F103" s="3838"/>
      <c r="G103" s="1828" t="s">
        <v>1434</v>
      </c>
      <c r="H103" s="2595">
        <f>IF(D36="正常操作",H104+H105+H106,H105+H106)</f>
        <v>0</v>
      </c>
      <c r="I103" s="129"/>
    </row>
    <row r="104" spans="1:35" ht="18.75" customHeight="1">
      <c r="A104" s="3802" t="s">
        <v>1435</v>
      </c>
      <c r="B104" s="2589" t="s">
        <v>1430</v>
      </c>
      <c r="C104" s="2590" t="e">
        <f ca="1">H118</f>
        <v>#REF!</v>
      </c>
      <c r="D104" s="2591"/>
      <c r="E104" s="1674" t="s">
        <v>1436</v>
      </c>
      <c r="F104" s="1666"/>
      <c r="G104" s="1828" t="s">
        <v>1434</v>
      </c>
      <c r="H104" s="2596">
        <f>IF(D36="同一抵押权人同一抵押物续贷",C36&amp;"（续贷，未扣减，详见特别提示）",C36)</f>
        <v>0</v>
      </c>
      <c r="I104" s="129"/>
    </row>
    <row r="105" spans="1:35" ht="18.75" customHeight="1" thickBot="1">
      <c r="A105" s="3803"/>
      <c r="B105" s="2592" t="s">
        <v>1432</v>
      </c>
      <c r="C105" s="2593" t="e">
        <f ca="1">I118</f>
        <v>#REF!</v>
      </c>
      <c r="D105" s="2594"/>
      <c r="E105" s="1674" t="s">
        <v>1437</v>
      </c>
      <c r="F105" s="1666"/>
      <c r="G105" s="1828" t="s">
        <v>1434</v>
      </c>
      <c r="H105" s="2597">
        <f>C37</f>
        <v>0</v>
      </c>
      <c r="I105" s="129"/>
    </row>
    <row r="106" spans="1:35" ht="18.75" customHeight="1">
      <c r="A106" s="1747" t="s">
        <v>1438</v>
      </c>
      <c r="B106" s="1747"/>
      <c r="C106" s="1747"/>
      <c r="D106" s="1747"/>
      <c r="E106" s="1829" t="s">
        <v>1439</v>
      </c>
      <c r="F106" s="1666"/>
      <c r="G106" s="1828" t="s">
        <v>1434</v>
      </c>
      <c r="H106" s="2597">
        <f>C38</f>
        <v>0</v>
      </c>
      <c r="I106" s="129"/>
    </row>
    <row r="107" spans="1:35" ht="18.75" customHeight="1">
      <c r="A107" s="129"/>
      <c r="B107" s="129"/>
      <c r="C107" s="129"/>
      <c r="D107" s="129"/>
      <c r="E107" s="3799" t="str">
        <f>IF(项目基本情况!E8="已注销","——","3.房地产抵押价值")</f>
        <v>3.房地产抵押价值</v>
      </c>
      <c r="F107" s="3800"/>
      <c r="G107" s="1827" t="s">
        <v>1430</v>
      </c>
      <c r="H107" s="2595" t="e">
        <f ca="1">IF(E107="——","——",H101-H103)</f>
        <v>#REF!</v>
      </c>
      <c r="I107" s="129"/>
    </row>
    <row r="108" spans="1:35" ht="18.75" customHeight="1">
      <c r="A108" s="129"/>
      <c r="B108" s="129"/>
      <c r="C108" s="129"/>
      <c r="D108" s="129"/>
      <c r="E108" s="3799"/>
      <c r="F108" s="3800"/>
      <c r="G108" s="1827" t="s">
        <v>1432</v>
      </c>
      <c r="H108" s="2555">
        <f ca="1">IF(H107=H101,H102,ROUND(H107*10000/'数据-汇总表'!E3,0))</f>
        <v>0</v>
      </c>
      <c r="I108" s="129"/>
    </row>
    <row r="109" spans="1:35" ht="18.75" customHeight="1">
      <c r="A109" s="129"/>
      <c r="B109" s="129"/>
      <c r="C109" s="129"/>
      <c r="D109" s="129"/>
      <c r="E109" s="3799" t="str">
        <f>IF(项目基本情况!E8="已注销及未注销","4.抵押担保权已注销时的房地产抵押价值",IF(项目基本情况!E8="已注销","3.抵押担保权已注销时的房地产抵押价值","——"))</f>
        <v>——</v>
      </c>
      <c r="F109" s="3800"/>
      <c r="G109" s="1827" t="s">
        <v>1430</v>
      </c>
      <c r="H109" s="2598" t="str">
        <f>IF(E109="——","——",H101-H105-H106)</f>
        <v>——</v>
      </c>
      <c r="I109" s="129"/>
    </row>
    <row r="110" spans="1:35" ht="18.75" customHeight="1">
      <c r="A110" s="129"/>
      <c r="B110" s="129"/>
      <c r="C110" s="129"/>
      <c r="D110" s="129"/>
      <c r="E110" s="3799"/>
      <c r="F110" s="3800"/>
      <c r="G110" s="1827" t="s">
        <v>1432</v>
      </c>
      <c r="H110" s="2555" t="str">
        <f>IF(H109="——","——",ROUND(H109*10000/'数据-汇总表'!E3,0))</f>
        <v>——</v>
      </c>
      <c r="I110" s="129"/>
    </row>
    <row r="111" spans="1:35" ht="18.75" customHeight="1">
      <c r="A111" s="129"/>
      <c r="B111" s="129"/>
      <c r="C111" s="129"/>
      <c r="D111" s="129"/>
      <c r="E111" s="3831" t="str">
        <f>IF(项目基本情况!E9="抵押净值",IF(OR(项目基本情况!E8="已注销",项目基本情况!E8="房地产抵押价值"),"4.抵押净值","5.抵押净值"),"——")</f>
        <v>——</v>
      </c>
      <c r="F111" s="3801"/>
      <c r="G111" s="1827" t="s">
        <v>1430</v>
      </c>
      <c r="H111" s="2595" t="str">
        <f>IF(E111="——","——",N59)</f>
        <v>——</v>
      </c>
      <c r="I111" s="129"/>
    </row>
    <row r="112" spans="1:35" ht="18.75" customHeight="1" thickBot="1">
      <c r="A112" s="129"/>
      <c r="B112" s="129"/>
      <c r="C112" s="129"/>
      <c r="D112" s="129"/>
      <c r="E112" s="3832"/>
      <c r="F112" s="3833"/>
      <c r="G112" s="1830" t="s">
        <v>1432</v>
      </c>
      <c r="H112" s="2599" t="str">
        <f>IF(E111="——","——",N61)</f>
        <v>——</v>
      </c>
      <c r="I112" s="129"/>
    </row>
    <row r="113" spans="1:27" ht="18.75" customHeight="1">
      <c r="A113" s="129"/>
      <c r="B113" s="129"/>
      <c r="C113" s="129"/>
      <c r="D113" s="129"/>
      <c r="E113" s="3804" t="s">
        <v>1438</v>
      </c>
      <c r="F113" s="3804"/>
      <c r="G113" s="3804"/>
      <c r="H113" s="3804"/>
      <c r="I113" s="129"/>
    </row>
    <row r="114" spans="1:27" ht="3.75" customHeight="1">
      <c r="A114" s="1747"/>
      <c r="B114" s="1747"/>
      <c r="C114" s="1747"/>
      <c r="D114" s="1747"/>
      <c r="E114" s="1809"/>
      <c r="F114" s="1809"/>
      <c r="G114" s="1809"/>
      <c r="H114" s="1809"/>
      <c r="I114" s="1747"/>
    </row>
    <row r="115" spans="1:27" ht="18.75" customHeight="1">
      <c r="A115" s="3814" t="s">
        <v>1440</v>
      </c>
      <c r="B115" s="3815"/>
      <c r="C115" s="3815"/>
      <c r="D115" s="3815"/>
      <c r="E115" s="3815"/>
      <c r="F115" s="3815"/>
      <c r="G115" s="3815"/>
      <c r="H115" s="3815"/>
      <c r="I115" s="3816"/>
    </row>
    <row r="116" spans="1:27" ht="27" customHeight="1">
      <c r="A116" s="3770" t="s">
        <v>1441</v>
      </c>
      <c r="B116" s="3805" t="s">
        <v>1442</v>
      </c>
      <c r="C116" s="3805" t="s">
        <v>1443</v>
      </c>
      <c r="D116" s="3818" t="s">
        <v>1444</v>
      </c>
      <c r="E116" s="3819"/>
      <c r="F116" s="3813" t="s">
        <v>1445</v>
      </c>
      <c r="G116" s="3813"/>
      <c r="H116" s="3770" t="s">
        <v>1446</v>
      </c>
      <c r="I116" s="3770"/>
    </row>
    <row r="117" spans="1:27" ht="18.75" customHeight="1">
      <c r="A117" s="3770"/>
      <c r="B117" s="3806"/>
      <c r="C117" s="3806"/>
      <c r="D117" s="3456" t="s">
        <v>1447</v>
      </c>
      <c r="E117" s="3456" t="s">
        <v>1448</v>
      </c>
      <c r="F117" s="3456" t="s">
        <v>1447</v>
      </c>
      <c r="G117" s="3456" t="s">
        <v>1449</v>
      </c>
      <c r="H117" s="3456" t="s">
        <v>1447</v>
      </c>
      <c r="I117" s="3456" t="s">
        <v>1449</v>
      </c>
    </row>
    <row r="118" spans="1:27" ht="24.75" customHeight="1">
      <c r="A118" s="2600" t="str">
        <f>项目基本情况!S2</f>
        <v>北京市房地产</v>
      </c>
      <c r="B118" s="3456">
        <f>M18</f>
        <v>18448.600000000002</v>
      </c>
      <c r="C118" s="3456">
        <f>M19</f>
        <v>0</v>
      </c>
      <c r="D118" s="3456" t="e">
        <f ca="1">ROUND(IF(D32="总价",C34,E118*B118/10000),0)</f>
        <v>#REF!</v>
      </c>
      <c r="E118" s="3456" t="e">
        <f ca="1">ROUND(IF(C33="自定义",IF(D32="楼面单价",C34,D118*10000/B118),I118-G118),0)</f>
        <v>#REF!</v>
      </c>
      <c r="F118" s="3456" t="e">
        <f ca="1">ROUND(IF(D32="总价",C35,G118*B118/10000),0)</f>
        <v>#REF!</v>
      </c>
      <c r="G118" s="3456" t="e">
        <f ca="1">ROUND(IF(D32="楼面单价",C35,F118*10000/B118),0)</f>
        <v>#REF!</v>
      </c>
      <c r="H118" s="3456" t="e">
        <f ca="1">ROUND(IF(D32="总价",C32,I118*B118/10000),0)</f>
        <v>#REF!</v>
      </c>
      <c r="I118" s="3456" t="e">
        <f ca="1">ROUND(IF(D32="楼面单价",C32,H118*10000/B118),0)</f>
        <v>#REF!</v>
      </c>
    </row>
    <row r="119" spans="1:27" ht="18.75" customHeight="1">
      <c r="A119" s="3770" t="s">
        <v>1450</v>
      </c>
      <c r="B119" s="3770"/>
      <c r="C119" s="3770"/>
      <c r="D119" s="3810" t="e">
        <f ca="1">NUMBERSTRING(INT(D118*10000),2)&amp;"元整"</f>
        <v>#REF!</v>
      </c>
      <c r="E119" s="3812"/>
      <c r="F119" s="3810" t="e">
        <f ca="1">NUMBERSTRING(INT(F118*10000),2)&amp;"元整"</f>
        <v>#REF!</v>
      </c>
      <c r="G119" s="3812"/>
      <c r="H119" s="3810" t="e">
        <f ca="1">NUMBERSTRING(INT(H118*10000),2)&amp;"元整"</f>
        <v>#REF!</v>
      </c>
      <c r="I119" s="3812"/>
    </row>
    <row r="120" spans="1:27" ht="18.75" customHeight="1">
      <c r="A120" s="3834" t="str">
        <f>IF(项目基本情况!B9="房地产市场价值","",MID(E103,3,LEN(E103)-2))</f>
        <v>估价师知悉的法定优先受偿款</v>
      </c>
      <c r="B120" s="3835"/>
      <c r="C120" s="3836"/>
      <c r="D120" s="3834">
        <f>H103</f>
        <v>0</v>
      </c>
      <c r="E120" s="3835"/>
      <c r="F120" s="3835"/>
      <c r="G120" s="3835"/>
      <c r="H120" s="3835"/>
      <c r="I120" s="3836"/>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810" t="s">
        <v>1450</v>
      </c>
      <c r="B121" s="3811"/>
      <c r="C121" s="3812"/>
      <c r="D121" s="3810" t="str">
        <f>IF(D120=0,"零元整",NUMBERSTRING(INT(D120*10000),2)&amp;"元整")</f>
        <v>零元整</v>
      </c>
      <c r="E121" s="3811"/>
      <c r="F121" s="3811"/>
      <c r="G121" s="3811"/>
      <c r="H121" s="3811"/>
      <c r="I121" s="3812"/>
      <c r="AA121" s="725"/>
    </row>
    <row r="122" spans="1:27" ht="18.75" customHeight="1">
      <c r="A122" s="3801" t="str">
        <f>IF(项目基本情况!B9="房地产市场价值","",MID(E107,3,LEN(E107)-2))</f>
        <v>房地产抵押价值</v>
      </c>
      <c r="B122" s="3801"/>
      <c r="C122" s="3801"/>
      <c r="D122" s="3834" t="e">
        <f ca="1">H107</f>
        <v>#REF!</v>
      </c>
      <c r="E122" s="3835"/>
      <c r="F122" s="3835"/>
      <c r="G122" s="3835"/>
      <c r="H122" s="3835"/>
      <c r="I122" s="3836"/>
      <c r="AA122" s="725"/>
    </row>
    <row r="123" spans="1:27" ht="18.75" customHeight="1">
      <c r="A123" s="3770" t="s">
        <v>1450</v>
      </c>
      <c r="B123" s="3770"/>
      <c r="C123" s="3770"/>
      <c r="D123" s="3810" t="e">
        <f ca="1">NUMBERSTRING(INT(D122*10000),2)&amp;"元整"</f>
        <v>#REF!</v>
      </c>
      <c r="E123" s="3811"/>
      <c r="F123" s="3811"/>
      <c r="G123" s="3811"/>
      <c r="H123" s="3811"/>
      <c r="I123" s="3812"/>
      <c r="AA123" s="725"/>
    </row>
    <row r="124" spans="1:27" ht="18.75" customHeight="1">
      <c r="A124" s="3801" t="str">
        <f>IF(项目基本情况!B9="房地产市场价值","",MID(E109,3,LEN(E109)-2))</f>
        <v/>
      </c>
      <c r="B124" s="3801"/>
      <c r="C124" s="3801"/>
      <c r="D124" s="3834" t="str">
        <f>H109</f>
        <v>——</v>
      </c>
      <c r="E124" s="3835"/>
      <c r="F124" s="3835"/>
      <c r="G124" s="3835"/>
      <c r="H124" s="3835"/>
      <c r="I124" s="3836"/>
      <c r="AA124" s="725"/>
    </row>
    <row r="125" spans="1:27" ht="18.75" customHeight="1">
      <c r="A125" s="3770" t="s">
        <v>1450</v>
      </c>
      <c r="B125" s="3770"/>
      <c r="C125" s="3770"/>
      <c r="D125" s="3810" t="e">
        <f>NUMBERSTRING(INT(D124*10000),2)&amp;"元整"</f>
        <v>#VALUE!</v>
      </c>
      <c r="E125" s="3811"/>
      <c r="F125" s="3811"/>
      <c r="G125" s="3811"/>
      <c r="H125" s="3811"/>
      <c r="I125" s="3812"/>
      <c r="AA125" s="725"/>
    </row>
    <row r="126" spans="1:27" ht="18.75" customHeight="1">
      <c r="A126" s="3801" t="str">
        <f>IF(项目基本情况!B9="房地产市场价值","",MID(E111,3,LEN(E111)-2))</f>
        <v/>
      </c>
      <c r="B126" s="3801"/>
      <c r="C126" s="3801"/>
      <c r="D126" s="3834" t="str">
        <f>H111</f>
        <v>——</v>
      </c>
      <c r="E126" s="3835"/>
      <c r="F126" s="3835"/>
      <c r="G126" s="3835"/>
      <c r="H126" s="3835"/>
      <c r="I126" s="3836"/>
      <c r="AA126" s="725"/>
    </row>
    <row r="127" spans="1:27" ht="18.75" customHeight="1">
      <c r="A127" s="3770" t="s">
        <v>1450</v>
      </c>
      <c r="B127" s="3770"/>
      <c r="C127" s="3770"/>
      <c r="D127" s="3810" t="e">
        <f>NUMBERSTRING(INT(D126*10000),2)&amp;"元整"</f>
        <v>#VALUE!</v>
      </c>
      <c r="E127" s="3811"/>
      <c r="F127" s="3811"/>
      <c r="G127" s="3811"/>
      <c r="H127" s="3811"/>
      <c r="I127" s="3812"/>
      <c r="AA127" s="725"/>
    </row>
    <row r="128" spans="1:27" ht="21.75" customHeight="1">
      <c r="A128" s="3817" t="s">
        <v>1451</v>
      </c>
      <c r="B128" s="3817"/>
      <c r="C128" s="3817"/>
      <c r="D128" s="3817"/>
      <c r="E128" s="3817"/>
      <c r="F128" s="3817"/>
      <c r="G128" s="3817"/>
      <c r="H128" s="3817"/>
      <c r="I128" s="3817"/>
      <c r="AA128" s="725"/>
    </row>
    <row r="129" spans="1:35" ht="21.75" customHeight="1">
      <c r="A129" s="1831" t="s">
        <v>1452</v>
      </c>
      <c r="B129" s="1832"/>
      <c r="C129" s="1833" t="s">
        <v>1453</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1454</v>
      </c>
      <c r="G135" s="1848"/>
      <c r="H135" s="1848"/>
      <c r="I135" s="1849" t="s">
        <v>1455</v>
      </c>
    </row>
    <row r="136" spans="1:35" ht="21.75" customHeight="1">
      <c r="A136" s="725"/>
      <c r="B136" s="1850" t="s">
        <v>1456</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1457</v>
      </c>
    </row>
    <row r="139" spans="1:35" ht="21.75" customHeight="1">
      <c r="A139" s="725"/>
      <c r="B139" s="1850" t="s">
        <v>1458</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1457</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52" priority="10" stopIfTrue="1" operator="equal">
      <formula>25</formula>
    </cfRule>
  </conditionalFormatting>
  <conditionalFormatting sqref="C8:C9">
    <cfRule type="cellIs" dxfId="151" priority="9" stopIfTrue="1" operator="equal">
      <formula>15</formula>
    </cfRule>
  </conditionalFormatting>
  <conditionalFormatting sqref="C14:C16">
    <cfRule type="cellIs" dxfId="150" priority="8" stopIfTrue="1" operator="equal">
      <formula>30</formula>
    </cfRule>
  </conditionalFormatting>
  <conditionalFormatting sqref="D5:D7">
    <cfRule type="cellIs" dxfId="149" priority="7" stopIfTrue="1" operator="equal">
      <formula>25</formula>
    </cfRule>
  </conditionalFormatting>
  <conditionalFormatting sqref="D8:D9">
    <cfRule type="cellIs" dxfId="148" priority="6" stopIfTrue="1" operator="equal">
      <formula>15</formula>
    </cfRule>
  </conditionalFormatting>
  <conditionalFormatting sqref="C10:D13">
    <cfRule type="cellIs" dxfId="147" priority="5" stopIfTrue="1" operator="equal">
      <formula>15</formula>
    </cfRule>
  </conditionalFormatting>
  <conditionalFormatting sqref="D14:D16">
    <cfRule type="cellIs" dxfId="146" priority="4"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4" zoomScale="85" zoomScaleNormal="100" zoomScaleSheetLayoutView="85" zoomScalePageLayoutView="80" workbookViewId="0">
      <selection activeCell="F24" sqref="F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1260</v>
      </c>
      <c r="B1" s="1747"/>
      <c r="C1" s="1748"/>
      <c r="D1" s="1747"/>
      <c r="E1" s="1747"/>
      <c r="F1" s="1749" t="s">
        <v>1261</v>
      </c>
      <c r="G1" s="1561"/>
      <c r="H1" s="1750" t="str">
        <f>IF(G1="现房","——","估价对象范围")</f>
        <v>估价对象范围</v>
      </c>
      <c r="I1" s="1751"/>
    </row>
    <row r="2" spans="1:12" ht="21.75" customHeight="1" thickBot="1">
      <c r="A2" s="3790" t="str">
        <f>项目基本情况!S2</f>
        <v>北京市房地产</v>
      </c>
      <c r="B2" s="3791"/>
      <c r="C2" s="3791"/>
      <c r="D2" s="3791"/>
      <c r="E2" s="3791"/>
      <c r="F2" s="3791"/>
      <c r="G2" s="3791"/>
      <c r="H2" s="3791"/>
      <c r="I2" s="3792"/>
    </row>
    <row r="3" spans="1:12" ht="12.75">
      <c r="A3" s="3794" t="s">
        <v>1262</v>
      </c>
      <c r="B3" s="3795"/>
      <c r="C3" s="3795"/>
      <c r="D3" s="3795"/>
      <c r="E3" s="3795"/>
      <c r="F3" s="3795"/>
      <c r="G3" s="3795"/>
      <c r="H3" s="3795"/>
      <c r="I3" s="3795"/>
    </row>
    <row r="4" spans="1:12" ht="14.25">
      <c r="A4" s="1754" t="s">
        <v>1263</v>
      </c>
      <c r="B4" s="1755" t="s">
        <v>1264</v>
      </c>
      <c r="C4" s="1756" t="s">
        <v>3565</v>
      </c>
      <c r="D4" s="1756" t="s">
        <v>3556</v>
      </c>
      <c r="E4" s="3796" t="s">
        <v>1265</v>
      </c>
      <c r="F4" s="3797"/>
      <c r="G4" s="3797"/>
      <c r="H4" s="3797"/>
      <c r="I4" s="3798"/>
      <c r="K4" s="146" t="str">
        <f>IF(ISNUMBER(FIND("比较法",'结果表(商业)'!C4)),"比较法",IF(ISNUMBER(FIND("成本法",'结果表(商业)'!C4)),"成本法",IF(ISNUMBER(FIND("假设开发法",'结果表(商业)'!C4)),"假设开发法",IF(ISNUMBER(FIND("收益法",'结果表(商业)'!C4)),"收益法","基准地价系数修正法"))))</f>
        <v>基准地价系数修正法</v>
      </c>
      <c r="L4" s="146"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770" t="s">
        <v>1266</v>
      </c>
      <c r="B5" s="3757">
        <v>25</v>
      </c>
      <c r="C5" s="3773"/>
      <c r="D5" s="3793"/>
      <c r="E5" s="131" t="s">
        <v>1267</v>
      </c>
      <c r="F5" s="1757"/>
      <c r="G5" s="1757"/>
      <c r="H5" s="1757"/>
      <c r="I5" s="1373"/>
    </row>
    <row r="6" spans="1:12" ht="12.75">
      <c r="A6" s="3770"/>
      <c r="B6" s="3757"/>
      <c r="C6" s="3774"/>
      <c r="D6" s="3793"/>
      <c r="E6" s="131" t="s">
        <v>1268</v>
      </c>
      <c r="F6" s="1757"/>
      <c r="G6" s="1757"/>
      <c r="H6" s="1757"/>
      <c r="I6" s="1373"/>
    </row>
    <row r="7" spans="1:12" ht="12.75">
      <c r="A7" s="3770"/>
      <c r="B7" s="3757"/>
      <c r="C7" s="3775"/>
      <c r="D7" s="3793"/>
      <c r="E7" s="131" t="s">
        <v>1269</v>
      </c>
      <c r="F7" s="1757"/>
      <c r="G7" s="1757"/>
      <c r="H7" s="1757"/>
      <c r="I7" s="1373"/>
    </row>
    <row r="8" spans="1:12" ht="12.75">
      <c r="A8" s="3770" t="s">
        <v>1270</v>
      </c>
      <c r="B8" s="3757">
        <v>15</v>
      </c>
      <c r="C8" s="3773"/>
      <c r="D8" s="3793"/>
      <c r="E8" s="131" t="s">
        <v>1271</v>
      </c>
      <c r="F8" s="1757"/>
      <c r="G8" s="1757"/>
      <c r="H8" s="1757"/>
      <c r="I8" s="1373"/>
    </row>
    <row r="9" spans="1:12" ht="12.75">
      <c r="A9" s="3770"/>
      <c r="B9" s="3757"/>
      <c r="C9" s="3775"/>
      <c r="D9" s="3793"/>
      <c r="E9" s="131" t="s">
        <v>1272</v>
      </c>
      <c r="F9" s="1757"/>
      <c r="G9" s="1757"/>
      <c r="H9" s="1757"/>
      <c r="I9" s="1373"/>
    </row>
    <row r="10" spans="1:12" ht="12.75">
      <c r="A10" s="3770" t="s">
        <v>1273</v>
      </c>
      <c r="B10" s="3757">
        <v>15</v>
      </c>
      <c r="C10" s="3773"/>
      <c r="D10" s="3793"/>
      <c r="E10" s="131" t="s">
        <v>1274</v>
      </c>
      <c r="F10" s="1757"/>
      <c r="G10" s="1757"/>
      <c r="H10" s="1757"/>
      <c r="I10" s="1373"/>
    </row>
    <row r="11" spans="1:12" ht="12.75">
      <c r="A11" s="3770"/>
      <c r="B11" s="3757"/>
      <c r="C11" s="3775"/>
      <c r="D11" s="3793"/>
      <c r="E11" s="131" t="s">
        <v>1275</v>
      </c>
      <c r="F11" s="1757"/>
      <c r="G11" s="1757"/>
      <c r="H11" s="1757"/>
      <c r="I11" s="1373"/>
    </row>
    <row r="12" spans="1:12" ht="12.75">
      <c r="A12" s="3770" t="s">
        <v>1276</v>
      </c>
      <c r="B12" s="3757">
        <v>15</v>
      </c>
      <c r="C12" s="3773"/>
      <c r="D12" s="3793"/>
      <c r="E12" s="131" t="s">
        <v>1277</v>
      </c>
      <c r="F12" s="1757"/>
      <c r="G12" s="1757"/>
      <c r="H12" s="1757"/>
      <c r="I12" s="1373"/>
    </row>
    <row r="13" spans="1:12" ht="12.75">
      <c r="A13" s="3770"/>
      <c r="B13" s="3757"/>
      <c r="C13" s="3775"/>
      <c r="D13" s="3793"/>
      <c r="E13" s="131" t="s">
        <v>1278</v>
      </c>
      <c r="F13" s="1757"/>
      <c r="G13" s="1757"/>
      <c r="H13" s="1757"/>
      <c r="I13" s="1373"/>
    </row>
    <row r="14" spans="1:12" ht="12.75">
      <c r="A14" s="3770" t="s">
        <v>1279</v>
      </c>
      <c r="B14" s="3757">
        <v>30</v>
      </c>
      <c r="C14" s="3773">
        <v>5</v>
      </c>
      <c r="D14" s="3793">
        <v>5</v>
      </c>
      <c r="E14" s="131" t="s">
        <v>1280</v>
      </c>
      <c r="F14" s="1757"/>
      <c r="G14" s="1757"/>
      <c r="H14" s="1757"/>
      <c r="I14" s="1373"/>
    </row>
    <row r="15" spans="1:12" ht="12.75">
      <c r="A15" s="3770"/>
      <c r="B15" s="3757"/>
      <c r="C15" s="3774"/>
      <c r="D15" s="3793"/>
      <c r="E15" s="131" t="s">
        <v>1281</v>
      </c>
      <c r="F15" s="1757"/>
      <c r="G15" s="1757"/>
      <c r="H15" s="1757"/>
      <c r="I15" s="1373"/>
    </row>
    <row r="16" spans="1:12" ht="12.75">
      <c r="A16" s="3770"/>
      <c r="B16" s="3757"/>
      <c r="C16" s="3775"/>
      <c r="D16" s="3793"/>
      <c r="E16" s="131" t="s">
        <v>1282</v>
      </c>
      <c r="F16" s="1757"/>
      <c r="G16" s="1757"/>
      <c r="H16" s="1757"/>
      <c r="I16" s="1373"/>
    </row>
    <row r="17" spans="1:36" ht="15">
      <c r="A17" s="1758" t="s">
        <v>1283</v>
      </c>
      <c r="B17" s="56"/>
      <c r="C17" s="132">
        <f>SUM(C5:C16)</f>
        <v>5</v>
      </c>
      <c r="D17" s="132">
        <f>SUM(D5:D16)</f>
        <v>5</v>
      </c>
      <c r="E17" s="129"/>
      <c r="F17" s="129"/>
      <c r="G17" s="129"/>
      <c r="H17" s="129"/>
      <c r="I17" s="129"/>
      <c r="K17" s="302"/>
      <c r="L17" s="302" t="s">
        <v>1284</v>
      </c>
      <c r="M17" s="302" t="s">
        <v>1285</v>
      </c>
    </row>
    <row r="18" spans="1:36" ht="31.9" customHeight="1" thickBot="1">
      <c r="A18" s="1759" t="s">
        <v>1286</v>
      </c>
      <c r="B18" s="1760"/>
      <c r="C18" s="133">
        <f>ROUND(C17/SUM(C17:D17),2)</f>
        <v>0.5</v>
      </c>
      <c r="D18" s="133">
        <f>1-C18</f>
        <v>0.5</v>
      </c>
      <c r="E18" s="3780" t="s">
        <v>2128</v>
      </c>
      <c r="F18" s="3781"/>
      <c r="G18" s="3781"/>
      <c r="H18" s="3781"/>
      <c r="I18" s="3781"/>
      <c r="K18" s="302" t="s">
        <v>1287</v>
      </c>
      <c r="L18" s="302">
        <f>IF(C1="",'数据-汇总表'!E3,SUMIF(项目类型,C1,'数据-汇总表'!E17:E26)+SUMIF(项目类型,C1,'数据-汇总表'!I17:I26))</f>
        <v>18448.600000000002</v>
      </c>
      <c r="M18" s="302">
        <f>IF(C1="",'数据-汇总表'!E3,SUMIF(项目类型,C1,'数据-汇总表'!E17:E26))</f>
        <v>18448.600000000002</v>
      </c>
    </row>
    <row r="19" spans="1:36" ht="15">
      <c r="A19" s="1761" t="s">
        <v>1288</v>
      </c>
      <c r="B19" s="1762" t="s">
        <v>1289</v>
      </c>
      <c r="C19" s="134">
        <f ca="1">SUMIF(INDIRECT("'"&amp;C4&amp;"'"&amp;"!A:A"),'结果表(商业)'!B19,INDIRECT("'"&amp;C4&amp;"'"&amp;"!B:B"))</f>
        <v>58264</v>
      </c>
      <c r="D19" s="135" t="e">
        <f ca="1">SUMIF(INDIRECT("'"&amp;D4&amp;"'"&amp;"!A:A"),'结果表(商业)'!B19,INDIRECT("'"&amp;D4&amp;"'"&amp;"!B:B"))</f>
        <v>#N/A</v>
      </c>
      <c r="E19" s="1761" t="s">
        <v>1290</v>
      </c>
      <c r="F19" s="1762" t="s">
        <v>1289</v>
      </c>
      <c r="G19" s="136" t="e">
        <f ca="1">ROUND(C19*$C$18+D19*$D$18,0)</f>
        <v>#N/A</v>
      </c>
      <c r="H19" s="1763" t="s">
        <v>1291</v>
      </c>
      <c r="I19" s="129"/>
      <c r="K19" s="302" t="s">
        <v>1292</v>
      </c>
      <c r="L19" s="302">
        <f>IF(C1="",'数据-汇总表'!D3,SUMIF(项目类型,C1,'数据-汇总表'!D17:D26)+SUMIF(项目类型,C1,'数据-汇总表'!H17:H27))</f>
        <v>0</v>
      </c>
      <c r="M19" s="302">
        <f>IF(C1="",'数据-汇总表'!D3,SUMIF(项目类型,C1,'数据-汇总表'!D17:D26))</f>
        <v>0</v>
      </c>
    </row>
    <row r="20" spans="1:36" ht="15">
      <c r="A20" s="1764"/>
      <c r="B20" s="1026" t="s">
        <v>1293</v>
      </c>
      <c r="C20" s="137">
        <f ca="1">SUMIF(INDIRECT("'"&amp;C4&amp;"'"&amp;"!A:A"),'结果表(商业)'!B20,INDIRECT("'"&amp;C4&amp;"'"&amp;"!B:B"))</f>
        <v>46477</v>
      </c>
      <c r="D20" s="138">
        <f ca="1">SUMIF(INDIRECT("'"&amp;D4&amp;"'"&amp;"!A:A"),'结果表(商业)'!B20,INDIRECT("'"&amp;D4&amp;"'"&amp;"!B:B"))</f>
        <v>0</v>
      </c>
      <c r="E20" s="1764"/>
      <c r="F20" s="1026" t="s">
        <v>1293</v>
      </c>
      <c r="G20" s="139">
        <f ca="1">ROUND(C20*$C$18+D20*$D$18,0)</f>
        <v>23239</v>
      </c>
      <c r="H20" s="808" t="s">
        <v>1294</v>
      </c>
      <c r="I20" s="129"/>
    </row>
    <row r="21" spans="1:36" ht="15" customHeight="1" thickBot="1">
      <c r="A21" s="828"/>
      <c r="B21" s="1765" t="s">
        <v>1295</v>
      </c>
      <c r="C21" s="719" t="e">
        <f ca="1">ROUND(C19*10000/L19,0)</f>
        <v>#DIV/0!</v>
      </c>
      <c r="D21" s="720" t="e">
        <f ca="1">ROUND(D19*10000/L19,0)</f>
        <v>#N/A</v>
      </c>
      <c r="E21" s="828"/>
      <c r="F21" s="1765" t="s">
        <v>1295</v>
      </c>
      <c r="G21" s="140" t="e">
        <f ca="1">ROUND(G19*10000/L19,0)</f>
        <v>#N/A</v>
      </c>
      <c r="H21" s="1766" t="s">
        <v>1294</v>
      </c>
      <c r="I21" s="129"/>
    </row>
    <row r="22" spans="1:36" ht="15" thickBot="1">
      <c r="A22" s="1688" t="s">
        <v>1296</v>
      </c>
      <c r="B22" s="1767"/>
      <c r="C22" s="1768"/>
      <c r="D22" s="721" t="e">
        <f ca="1">IF(C19&lt;D19,D19/C19-1,C19/D19-1)</f>
        <v>#N/A</v>
      </c>
      <c r="E22" s="129"/>
      <c r="F22" s="129"/>
      <c r="G22" s="129"/>
      <c r="H22" s="129"/>
      <c r="I22" s="129"/>
    </row>
    <row r="23" spans="1:36" ht="13.5" thickBot="1">
      <c r="A23" s="1747"/>
      <c r="B23" s="1747"/>
      <c r="C23" s="1747"/>
      <c r="D23" s="1747"/>
      <c r="E23" s="129"/>
      <c r="F23" s="129"/>
      <c r="G23" s="129"/>
      <c r="H23" s="129"/>
      <c r="I23" s="129"/>
    </row>
    <row r="24" spans="1:36" ht="14.25">
      <c r="A24" s="3764" t="s">
        <v>1297</v>
      </c>
      <c r="B24" s="1762" t="s">
        <v>1289</v>
      </c>
      <c r="C24" s="136">
        <f>IF(B30=0,0,D30)</f>
        <v>0</v>
      </c>
      <c r="D24" s="1769"/>
      <c r="E24" s="129"/>
      <c r="F24" s="129"/>
      <c r="G24" s="129"/>
      <c r="H24" s="129"/>
      <c r="I24" s="129"/>
    </row>
    <row r="25" spans="1:36" ht="14.25">
      <c r="A25" s="3765"/>
      <c r="B25" s="1026" t="s">
        <v>1293</v>
      </c>
      <c r="C25" s="141">
        <f>IF(B30=0,0,C30)</f>
        <v>0</v>
      </c>
      <c r="D25" s="1770"/>
      <c r="E25" s="129"/>
      <c r="F25" s="129"/>
      <c r="G25" s="129"/>
      <c r="H25" s="129"/>
      <c r="I25" s="129"/>
    </row>
    <row r="26" spans="1:36" ht="13.5" customHeight="1">
      <c r="A26" s="1771" t="s">
        <v>1298</v>
      </c>
      <c r="B26" s="142" t="s">
        <v>1299</v>
      </c>
      <c r="C26" s="142" t="s">
        <v>1300</v>
      </c>
      <c r="D26" s="143" t="s">
        <v>1301</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1302</v>
      </c>
      <c r="B30" s="142"/>
      <c r="C30" s="142"/>
      <c r="D30" s="142"/>
      <c r="E30" s="2303" t="s">
        <v>2129</v>
      </c>
      <c r="F30" s="129"/>
      <c r="G30" s="129"/>
      <c r="H30" s="129"/>
      <c r="I30" s="129"/>
    </row>
    <row r="31" spans="1:36" s="2309" customFormat="1" ht="26.45" customHeight="1" thickTop="1" thickBot="1">
      <c r="A31" s="2304"/>
      <c r="B31" s="2305"/>
      <c r="C31" s="2305"/>
      <c r="D31" s="2305"/>
      <c r="E31" s="2305"/>
      <c r="F31" s="2305"/>
      <c r="G31" s="2305"/>
      <c r="H31" s="2305"/>
      <c r="I31" s="2306" t="s">
        <v>2130</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1303</v>
      </c>
      <c r="B32" s="1774"/>
      <c r="C32" s="144">
        <f ca="1">IF(D32="总价",G19-C24,G20-C25)</f>
        <v>23239</v>
      </c>
      <c r="D32" s="1775"/>
      <c r="E32" s="129"/>
      <c r="F32" s="129"/>
      <c r="G32" s="129"/>
      <c r="H32" s="129"/>
      <c r="I32" s="129"/>
    </row>
    <row r="33" spans="1:15" ht="15">
      <c r="A33" s="786" t="s">
        <v>1304</v>
      </c>
      <c r="B33" s="1776"/>
      <c r="C33" s="1777"/>
      <c r="D33" s="1778"/>
      <c r="E33" s="1779" t="s">
        <v>1305</v>
      </c>
      <c r="F33" s="1780" t="str">
        <f>IF(D32="楼面单价","取值（单价）","取值（总价）")</f>
        <v>取值（总价）</v>
      </c>
      <c r="G33" s="129"/>
      <c r="H33" s="129"/>
      <c r="I33" s="129"/>
    </row>
    <row r="34" spans="1:15" ht="15">
      <c r="A34" s="1781"/>
      <c r="B34" s="1782" t="s">
        <v>1306</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1307</v>
      </c>
      <c r="F34" s="1330"/>
      <c r="G34" s="129"/>
      <c r="H34" s="129"/>
      <c r="I34" s="129"/>
    </row>
    <row r="35" spans="1:15" ht="15.75" thickBot="1">
      <c r="A35" s="1784"/>
      <c r="B35" s="1785" t="s">
        <v>1308</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1309</v>
      </c>
      <c r="F35" s="154"/>
      <c r="G35" s="129"/>
      <c r="H35" s="129"/>
      <c r="I35" s="129"/>
    </row>
    <row r="36" spans="1:15" ht="15.75" thickBot="1">
      <c r="A36" s="3784" t="s">
        <v>1310</v>
      </c>
      <c r="B36" s="1787" t="s">
        <v>1311</v>
      </c>
      <c r="C36" s="145"/>
      <c r="D36" s="1788"/>
      <c r="E36" s="1789"/>
      <c r="F36" s="1790"/>
      <c r="G36" s="129"/>
      <c r="H36" s="129"/>
      <c r="I36" s="129"/>
    </row>
    <row r="37" spans="1:15" ht="15.75" thickBot="1">
      <c r="A37" s="3785"/>
      <c r="B37" s="1674" t="s">
        <v>1312</v>
      </c>
      <c r="C37" s="147"/>
      <c r="D37" s="1139"/>
      <c r="E37" s="1139"/>
      <c r="F37" s="1790"/>
      <c r="G37" s="129"/>
      <c r="H37" s="129"/>
      <c r="I37" s="129"/>
    </row>
    <row r="38" spans="1:15" ht="15.75" thickBot="1">
      <c r="A38" s="3786"/>
      <c r="B38" s="1791" t="s">
        <v>1313</v>
      </c>
      <c r="C38" s="674"/>
      <c r="D38" s="1792" t="s">
        <v>1314</v>
      </c>
      <c r="E38" s="1139"/>
      <c r="F38" s="1790"/>
      <c r="G38" s="129"/>
      <c r="H38" s="129"/>
      <c r="I38" s="129"/>
    </row>
    <row r="39" spans="1:15" ht="15">
      <c r="A39" s="1764" t="s">
        <v>1315</v>
      </c>
      <c r="B39" s="1793" t="s">
        <v>1299</v>
      </c>
      <c r="C39" s="1794" t="s">
        <v>1300</v>
      </c>
      <c r="D39" s="1794" t="s">
        <v>1318</v>
      </c>
      <c r="E39" s="1795" t="s">
        <v>1301</v>
      </c>
      <c r="F39" s="1790"/>
      <c r="G39" s="129"/>
      <c r="H39" s="129"/>
      <c r="I39" s="129"/>
    </row>
    <row r="40" spans="1:15" ht="14.25">
      <c r="A40" s="1796" t="s">
        <v>1320</v>
      </c>
      <c r="B40" s="149"/>
      <c r="C40" s="150"/>
      <c r="D40" s="150"/>
      <c r="E40" s="151"/>
      <c r="F40" s="1790"/>
      <c r="G40" s="129"/>
      <c r="H40" s="129"/>
      <c r="I40" s="129"/>
    </row>
    <row r="41" spans="1:15" ht="14.25">
      <c r="A41" s="1796" t="s">
        <v>1321</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1322</v>
      </c>
      <c r="B44" s="1801"/>
      <c r="C44" s="1801"/>
      <c r="D44" s="1802"/>
      <c r="E44" s="1802"/>
      <c r="F44" s="1803"/>
      <c r="G44" s="1803"/>
      <c r="H44" s="1803"/>
      <c r="I44" s="1803"/>
      <c r="J44" s="1804" t="s">
        <v>1323</v>
      </c>
      <c r="K44" s="1805"/>
      <c r="L44" s="1805"/>
      <c r="M44" s="1805"/>
      <c r="N44" s="1805"/>
      <c r="O44" s="1805"/>
    </row>
    <row r="45" spans="1:15" ht="14.25" customHeight="1" thickBot="1">
      <c r="A45" s="3761" t="s">
        <v>1324</v>
      </c>
      <c r="B45" s="3762"/>
      <c r="C45" s="3763"/>
      <c r="D45" s="155" t="e">
        <f ca="1">ROUND(H101*F45,0)</f>
        <v>#REF!</v>
      </c>
      <c r="E45" s="156" t="s">
        <v>1325</v>
      </c>
      <c r="F45" s="157">
        <v>1</v>
      </c>
      <c r="G45" s="158" t="s">
        <v>1326</v>
      </c>
      <c r="H45" s="129"/>
      <c r="I45" s="129"/>
      <c r="J45" s="3839" t="s">
        <v>1327</v>
      </c>
      <c r="K45" s="3839"/>
      <c r="L45" s="3839"/>
      <c r="M45" s="3839"/>
      <c r="N45" s="3839"/>
      <c r="O45" s="3839"/>
    </row>
    <row r="46" spans="1:15" ht="14.25" customHeight="1">
      <c r="A46" s="3758" t="s">
        <v>1328</v>
      </c>
      <c r="B46" s="3759"/>
      <c r="C46" s="3759"/>
      <c r="D46" s="3759"/>
      <c r="E46" s="3759"/>
      <c r="F46" s="3759"/>
      <c r="G46" s="3760"/>
      <c r="H46" s="1806"/>
      <c r="I46" s="159"/>
      <c r="J46" s="3458">
        <v>1</v>
      </c>
      <c r="K46" s="3820" t="s">
        <v>1329</v>
      </c>
      <c r="L46" s="3820"/>
      <c r="M46" s="3840"/>
      <c r="N46" s="3840"/>
      <c r="O46" s="3840"/>
    </row>
    <row r="47" spans="1:15" ht="12" customHeight="1">
      <c r="A47" s="160" t="s">
        <v>1330</v>
      </c>
      <c r="B47" s="161"/>
      <c r="C47" s="162"/>
      <c r="D47" s="1087" t="s">
        <v>1331</v>
      </c>
      <c r="E47" s="302" t="s">
        <v>1332</v>
      </c>
      <c r="F47" s="163" t="s">
        <v>1333</v>
      </c>
      <c r="G47" s="2546" t="s">
        <v>1334</v>
      </c>
      <c r="H47" s="2547"/>
      <c r="I47" s="159"/>
      <c r="J47" s="3458">
        <v>2</v>
      </c>
      <c r="K47" s="3820" t="s">
        <v>1335</v>
      </c>
      <c r="L47" s="3820"/>
      <c r="M47" s="3841">
        <f>'数据-取费表'!B2</f>
        <v>45400</v>
      </c>
      <c r="N47" s="3841"/>
      <c r="O47" s="3841"/>
    </row>
    <row r="48" spans="1:15" ht="25.5">
      <c r="A48" s="3789" t="s">
        <v>1336</v>
      </c>
      <c r="B48" s="3772"/>
      <c r="C48" s="3772"/>
      <c r="D48" s="3453" t="b">
        <f>IF(H48="情况1",0,IF(H48="情况2",D52,IF(H48="情况3",D53,IF(H48="情况4",D54))))</f>
        <v>0</v>
      </c>
      <c r="E48" s="3468" t="str">
        <f>IF(H48="情况4","(销售额-原购置价)×税（费）率","销售额×税（费）率")</f>
        <v>销售额×税（费）率</v>
      </c>
      <c r="F48" s="2548">
        <f>IF(H48="情况1","免征",'数据-取费表'!B41)</f>
        <v>5.6000000000000001E-2</v>
      </c>
      <c r="G48" s="2549" t="s">
        <v>1337</v>
      </c>
      <c r="H48" s="2550"/>
      <c r="I48" s="1806"/>
      <c r="J48" s="3458">
        <v>3</v>
      </c>
      <c r="K48" s="3820" t="s">
        <v>1338</v>
      </c>
      <c r="L48" s="3820"/>
      <c r="M48" s="3842" t="e">
        <f ca="1">H101</f>
        <v>#REF!</v>
      </c>
      <c r="N48" s="3842"/>
      <c r="O48" s="3842"/>
    </row>
    <row r="49" spans="1:35" ht="25.5" customHeight="1">
      <c r="A49" s="3467" t="s">
        <v>1339</v>
      </c>
      <c r="B49" s="3756" t="s">
        <v>1340</v>
      </c>
      <c r="C49" s="3756"/>
      <c r="D49" s="1590">
        <v>0</v>
      </c>
      <c r="E49" s="324" t="s">
        <v>1341</v>
      </c>
      <c r="F49" s="3451" t="s">
        <v>28</v>
      </c>
      <c r="G49" s="3826"/>
      <c r="H49" s="2310" t="s">
        <v>2131</v>
      </c>
      <c r="I49" s="2311"/>
      <c r="J49" s="3458">
        <v>4</v>
      </c>
      <c r="K49" s="3820" t="str">
        <f>IF(项目基本情况!E8="房地产抵押价值","房地产抵押价值","抵押担保权已注销时的房地产抵押价值")</f>
        <v>房地产抵押价值</v>
      </c>
      <c r="L49" s="3820"/>
      <c r="M49" s="3842" t="str">
        <f ca="1">IF(项目基本情况!E8="房地产抵押价值",H107,H109)</f>
        <v>——</v>
      </c>
      <c r="N49" s="3842"/>
      <c r="O49" s="3842"/>
    </row>
    <row r="50" spans="1:35" ht="25.5" customHeight="1">
      <c r="A50" s="2551"/>
      <c r="B50" s="3756" t="s">
        <v>1342</v>
      </c>
      <c r="C50" s="3756"/>
      <c r="D50" s="2552"/>
      <c r="E50" s="332"/>
      <c r="F50" s="3451"/>
      <c r="G50" s="3827"/>
      <c r="H50" s="2312" t="s">
        <v>2132</v>
      </c>
      <c r="I50" s="2311"/>
      <c r="J50" s="3839" t="s">
        <v>1343</v>
      </c>
      <c r="K50" s="3839"/>
      <c r="L50" s="3839"/>
      <c r="M50" s="3839"/>
      <c r="N50" s="3839"/>
      <c r="O50" s="3839"/>
    </row>
    <row r="51" spans="1:35" ht="20.45" customHeight="1">
      <c r="A51" s="2553"/>
      <c r="B51" s="3756" t="s">
        <v>1344</v>
      </c>
      <c r="C51" s="3756"/>
      <c r="D51" s="1087"/>
      <c r="E51" s="327"/>
      <c r="F51" s="3451"/>
      <c r="G51" s="3828"/>
      <c r="H51" s="2312" t="s">
        <v>2133</v>
      </c>
      <c r="I51" s="2311"/>
      <c r="J51" s="3452" t="s">
        <v>1345</v>
      </c>
      <c r="K51" s="3820" t="s">
        <v>1346</v>
      </c>
      <c r="L51" s="3820"/>
      <c r="M51" s="3452" t="s">
        <v>1347</v>
      </c>
      <c r="N51" s="3452" t="s">
        <v>1348</v>
      </c>
      <c r="O51" s="3452" t="s">
        <v>1349</v>
      </c>
    </row>
    <row r="52" spans="1:35" ht="24" customHeight="1">
      <c r="A52" s="3470" t="s">
        <v>1350</v>
      </c>
      <c r="B52" s="3756" t="s">
        <v>1351</v>
      </c>
      <c r="C52" s="3756"/>
      <c r="D52" s="1087" t="e">
        <f ca="1">ROUND(D45*'数据-取费表'!B41/(1+'数据-取费表'!C42),0)</f>
        <v>#REF!</v>
      </c>
      <c r="E52" s="3468" t="s">
        <v>1352</v>
      </c>
      <c r="F52" s="2554">
        <f>'数据-取费表'!B41</f>
        <v>5.6000000000000001E-2</v>
      </c>
      <c r="G52" s="2555"/>
      <c r="H52" s="2544"/>
      <c r="I52" s="1807"/>
      <c r="J52" s="3458">
        <v>1</v>
      </c>
      <c r="K52" s="3821" t="s">
        <v>1353</v>
      </c>
      <c r="L52" s="3821"/>
      <c r="M52" s="2525" t="b">
        <f>D48</f>
        <v>0</v>
      </c>
      <c r="N52" s="3458" t="str">
        <f>E48</f>
        <v>销售额×税（费）率</v>
      </c>
      <c r="O52" s="2526">
        <f>F48</f>
        <v>5.6000000000000001E-2</v>
      </c>
    </row>
    <row r="53" spans="1:35" ht="12" customHeight="1">
      <c r="A53" s="3470" t="s">
        <v>1354</v>
      </c>
      <c r="B53" s="3782" t="s">
        <v>2288</v>
      </c>
      <c r="C53" s="3783"/>
      <c r="D53" s="1087" t="e">
        <f ca="1">ROUND(D45*'数据-取费表'!B41/(1+'数据-取费表'!C42),0)</f>
        <v>#REF!</v>
      </c>
      <c r="E53" s="3468" t="s">
        <v>1352</v>
      </c>
      <c r="F53" s="2554">
        <f>'数据-取费表'!B41</f>
        <v>5.6000000000000001E-2</v>
      </c>
      <c r="G53" s="2555"/>
      <c r="H53" s="2544"/>
      <c r="I53" s="1807"/>
      <c r="J53" s="3458">
        <v>2</v>
      </c>
      <c r="K53" s="3821" t="s">
        <v>1355</v>
      </c>
      <c r="L53" s="3821"/>
      <c r="M53" s="2525" t="e">
        <f t="shared" ref="M53:O54" ca="1" si="0">D55</f>
        <v>#REF!</v>
      </c>
      <c r="N53" s="3458" t="str">
        <f t="shared" si="0"/>
        <v>销售额×税（费）率</v>
      </c>
      <c r="O53" s="2526" t="str">
        <f t="shared" si="0"/>
        <v>免征</v>
      </c>
    </row>
    <row r="54" spans="1:35" ht="12" customHeight="1">
      <c r="A54" s="3470" t="s">
        <v>1356</v>
      </c>
      <c r="B54" s="3782" t="s">
        <v>2289</v>
      </c>
      <c r="C54" s="3783"/>
      <c r="D54" s="1087" t="e">
        <f ca="1">C68</f>
        <v>#REF!</v>
      </c>
      <c r="E54" s="327" t="s">
        <v>1357</v>
      </c>
      <c r="F54" s="2554">
        <f>'数据-取费表'!B41</f>
        <v>5.6000000000000001E-2</v>
      </c>
      <c r="G54" s="2555"/>
      <c r="H54" s="2556"/>
      <c r="I54" s="1807"/>
      <c r="J54" s="3458">
        <v>3</v>
      </c>
      <c r="K54" s="3821" t="s">
        <v>1358</v>
      </c>
      <c r="L54" s="3821"/>
      <c r="M54" s="2525" t="e">
        <f t="shared" ca="1" si="0"/>
        <v>#REF!</v>
      </c>
      <c r="N54" s="3458" t="str">
        <f t="shared" si="0"/>
        <v>增值额×税（费）率</v>
      </c>
      <c r="O54" s="2527" t="str">
        <f t="shared" si="0"/>
        <v>免征</v>
      </c>
    </row>
    <row r="55" spans="1:35" ht="24" customHeight="1">
      <c r="A55" s="3771" t="s">
        <v>1359</v>
      </c>
      <c r="B55" s="3772"/>
      <c r="C55" s="3772"/>
      <c r="D55" s="3453" t="e">
        <f ca="1">IF(H55="个人住宅",0,ROUND(D45*I55,0))</f>
        <v>#REF!</v>
      </c>
      <c r="E55" s="3468" t="s">
        <v>1360</v>
      </c>
      <c r="F55" s="2554" t="str">
        <f>IF(H55="正常",I55,"免征")</f>
        <v>免征</v>
      </c>
      <c r="G55" s="2555"/>
      <c r="H55" s="2550"/>
      <c r="I55" s="165">
        <f>'数据-取费表'!B49</f>
        <v>5.0000000000000001E-4</v>
      </c>
      <c r="J55" s="3458">
        <f>IF(H59="非个人房产","",4)</f>
        <v>4</v>
      </c>
      <c r="K55" s="3821" t="str">
        <f>IF(H59="非个人房产","——","个人所得税")</f>
        <v>个人所得税</v>
      </c>
      <c r="L55" s="3821"/>
      <c r="M55" s="2528" t="e">
        <f ca="1">D59</f>
        <v>#REF!</v>
      </c>
      <c r="N55" s="3459" t="str">
        <f>E59</f>
        <v>差额计税</v>
      </c>
      <c r="O55" s="2529">
        <f>F59</f>
        <v>0.01</v>
      </c>
    </row>
    <row r="56" spans="1:35" ht="24.75">
      <c r="A56" s="3771" t="s">
        <v>1361</v>
      </c>
      <c r="B56" s="3772"/>
      <c r="C56" s="3772"/>
      <c r="D56" s="3453" t="e">
        <f ca="1">IF(H56="个人住宅",D57,D58)</f>
        <v>#REF!</v>
      </c>
      <c r="E56" s="3468" t="s">
        <v>1362</v>
      </c>
      <c r="F56" s="2554" t="str">
        <f>IF(H56="正常",F58,"免征")</f>
        <v>免征</v>
      </c>
      <c r="G56" s="2557" t="s">
        <v>1363</v>
      </c>
      <c r="H56" s="2558"/>
      <c r="I56" s="1808"/>
      <c r="J56" s="3458" t="str">
        <f>IF(项目基本情况!K6="上海银行",IF(J55="",4,J55+1),"")</f>
        <v/>
      </c>
      <c r="K56" s="3844" t="str">
        <f>IF(项目基本情况!K6="上海银行","其他处置费用","")</f>
        <v/>
      </c>
      <c r="L56" s="3845"/>
      <c r="M56" s="2525" t="str">
        <f>IF(项目基本情况!K6="上海银行",M69,"")</f>
        <v/>
      </c>
      <c r="N56" s="3844" t="str">
        <f>IF(项目基本情况!K6="上海银行","包含处置中涉及的律师、诉讼、拍卖、评估等费用","")</f>
        <v/>
      </c>
      <c r="O56" s="3847"/>
    </row>
    <row r="57" spans="1:35" ht="12.75">
      <c r="A57" s="3470" t="s">
        <v>1339</v>
      </c>
      <c r="B57" s="3782" t="s">
        <v>1364</v>
      </c>
      <c r="C57" s="3783"/>
      <c r="D57" s="1590">
        <v>0</v>
      </c>
      <c r="E57" s="324" t="s">
        <v>1341</v>
      </c>
      <c r="F57" s="302"/>
      <c r="G57" s="2555"/>
      <c r="H57" s="2559"/>
      <c r="I57" s="1808"/>
      <c r="J57" s="3821">
        <f>IF(AND(J55="",J56=""),4,IF(项目基本情况!K6="上海银行",'结果表(商业)'!J56+1,'结果表(商业)'!J55+1))</f>
        <v>5</v>
      </c>
      <c r="K57" s="3821" t="s">
        <v>1365</v>
      </c>
      <c r="L57" s="2530" t="s">
        <v>1366</v>
      </c>
      <c r="M57" s="2531"/>
      <c r="N57" s="2532">
        <f ca="1">SUMIF(M52:M56,"&lt;9e307")</f>
        <v>0</v>
      </c>
      <c r="O57" s="2533"/>
      <c r="P57" s="2690" t="e">
        <f ca="1">N57/M49</f>
        <v>#VALUE!</v>
      </c>
    </row>
    <row r="58" spans="1:35" ht="24.75">
      <c r="A58" s="3470" t="s">
        <v>1350</v>
      </c>
      <c r="B58" s="3782" t="s">
        <v>1367</v>
      </c>
      <c r="C58" s="3756"/>
      <c r="D58" s="3453" t="e">
        <f ca="1">IF(H58="转让取得",C81,C97)</f>
        <v>#REF!</v>
      </c>
      <c r="E58" s="3468" t="s">
        <v>1362</v>
      </c>
      <c r="F58" s="302" t="s">
        <v>28</v>
      </c>
      <c r="G58" s="2555"/>
      <c r="H58" s="2558"/>
      <c r="I58" s="1808"/>
      <c r="J58" s="3821"/>
      <c r="K58" s="3821"/>
      <c r="L58" s="2530" t="s">
        <v>1368</v>
      </c>
      <c r="M58" s="2534"/>
      <c r="N58" s="2535" t="str">
        <f ca="1">NUMBERSTRING(INT(N57*10000),2)&amp;"元整"</f>
        <v>零元整</v>
      </c>
      <c r="O58" s="2536"/>
    </row>
    <row r="59" spans="1:35" ht="24.75" thickBot="1">
      <c r="A59" s="3824" t="s">
        <v>1369</v>
      </c>
      <c r="B59" s="3825"/>
      <c r="C59" s="3825"/>
      <c r="D59" s="2560" t="e">
        <f ca="1">IF(H59="非个人房产","——",IF(H59="个人住宅（满五唯一有凭证）",0,IF(H59="个人其他（无凭证）",ROUND(D45*F59,0),ROUND(C67*F59,0))))</f>
        <v>#REF!</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1363</v>
      </c>
      <c r="H59" s="2314"/>
      <c r="I59" s="2313" t="s">
        <v>2134</v>
      </c>
      <c r="J59" s="3822">
        <f>J57+1</f>
        <v>6</v>
      </c>
      <c r="K59" s="3821" t="s">
        <v>1370</v>
      </c>
      <c r="L59" s="3458" t="s">
        <v>1366</v>
      </c>
      <c r="M59" s="2537"/>
      <c r="N59" s="2538" t="e">
        <f ca="1">M49-N57</f>
        <v>#VALUE!</v>
      </c>
      <c r="O59" s="2539"/>
    </row>
    <row r="60" spans="1:35" ht="12" customHeight="1">
      <c r="A60" s="1809"/>
      <c r="B60" s="1747"/>
      <c r="C60" s="1747"/>
      <c r="D60" s="1747"/>
      <c r="E60" s="1578"/>
      <c r="F60" s="1808"/>
      <c r="G60" s="1808"/>
      <c r="H60" s="1810"/>
      <c r="I60" s="129"/>
      <c r="J60" s="3823"/>
      <c r="K60" s="3821"/>
      <c r="L60" s="2530" t="s">
        <v>1368</v>
      </c>
      <c r="M60" s="2534"/>
      <c r="N60" s="2535" t="e">
        <f ca="1">NUMBERSTRING(INT(N59*10000),2)&amp;"元整"</f>
        <v>#VALUE!</v>
      </c>
      <c r="O60" s="2536"/>
    </row>
    <row r="61" spans="1:35" ht="13.5" thickBot="1">
      <c r="A61" s="3769" t="s">
        <v>1371</v>
      </c>
      <c r="B61" s="3769"/>
      <c r="C61" s="3769"/>
      <c r="D61" s="3769"/>
      <c r="E61" s="3769"/>
      <c r="F61" s="1808"/>
      <c r="G61" s="1808"/>
      <c r="H61" s="1810"/>
      <c r="I61" s="129"/>
      <c r="J61" s="3458">
        <f>J59+1</f>
        <v>7</v>
      </c>
      <c r="K61" s="3821" t="s">
        <v>1372</v>
      </c>
      <c r="L61" s="3821"/>
      <c r="M61" s="2540"/>
      <c r="N61" s="2541" t="e">
        <f ca="1">ROUND(N59*10000/'数据-汇总表'!E3,0)</f>
        <v>#VALUE!</v>
      </c>
      <c r="O61" s="2542"/>
    </row>
    <row r="62" spans="1:35" ht="12.75">
      <c r="A62" s="3787" t="s">
        <v>1373</v>
      </c>
      <c r="B62" s="3788"/>
      <c r="C62" s="3463"/>
      <c r="D62" s="3463" t="s">
        <v>1374</v>
      </c>
      <c r="E62" s="166" t="s">
        <v>1375</v>
      </c>
      <c r="F62" s="1808"/>
      <c r="G62" s="1808"/>
      <c r="H62" s="1810"/>
      <c r="I62" s="129"/>
    </row>
    <row r="63" spans="1:35" ht="12.75">
      <c r="A63" s="173" t="s">
        <v>330</v>
      </c>
      <c r="B63" s="167" t="s">
        <v>1376</v>
      </c>
      <c r="C63" s="2564" t="e">
        <f ca="1">ROUND((C64+C65)/(1+'数据-取费表'!C42),0)</f>
        <v>#REF!</v>
      </c>
      <c r="D63" s="167"/>
      <c r="E63" s="168"/>
      <c r="F63" s="1808"/>
      <c r="G63" s="1808"/>
      <c r="H63" s="1810"/>
      <c r="I63" s="129"/>
      <c r="J63" s="3846" t="s">
        <v>1377</v>
      </c>
      <c r="K63" s="3454" t="s">
        <v>1378</v>
      </c>
      <c r="L63" s="3454" t="e">
        <f ca="1">IF(M49&gt;10000,M49*0.5%,IF(AND(M49&gt;1000,M49&lt;=10000),M49*1%,IF(AND(M49&gt;100,M49&lt;=1000),M49*3%,IF(AND(M49&gt;10,M49&lt;=100),M49*5%,M49*8%))))</f>
        <v>#VALUE!</v>
      </c>
      <c r="M63" s="302" t="e">
        <f ca="1">ROUND(L63,1)</f>
        <v>#VALUE!</v>
      </c>
      <c r="N63" s="2543"/>
      <c r="Z63" s="1752"/>
      <c r="AI63" s="1753"/>
    </row>
    <row r="64" spans="1:35" ht="14.25" customHeight="1">
      <c r="A64" s="169" t="s">
        <v>325</v>
      </c>
      <c r="B64" s="170" t="s">
        <v>1379</v>
      </c>
      <c r="C64" s="2565" t="e">
        <f ca="1">D45</f>
        <v>#REF!</v>
      </c>
      <c r="D64" s="170" t="s">
        <v>26</v>
      </c>
      <c r="E64" s="172"/>
      <c r="F64" s="1808"/>
      <c r="G64" s="1808"/>
      <c r="H64" s="1810"/>
      <c r="I64" s="129"/>
      <c r="J64" s="3846"/>
      <c r="K64" s="3454" t="s">
        <v>1380</v>
      </c>
      <c r="L64" s="3454" t="e">
        <f ca="1">IF(M49&gt;2000,M49*0.5%,IF(AND(M49&gt;1000,M49&lt;=2000),M49*0.6%,IF(AND(M49&gt;500,M49&lt;=1000),M49*0.7%,IF(AND(M49&gt;200,M49&lt;=500),M49*0.8%,IF(AND(M49&gt;100,M49&lt;=200),M49*0.9%,IF(AND(M49&gt;50,M49&lt;=100),M49*1%,IF(AND(M49&gt;20,M49&lt;=50),M49*1.5%,IF(AND(M49&gt;10,M49&lt;=20),M49*2%,IF(AND(M49&gt;1,M49&lt;=10),M49*2.5%)))))))))</f>
        <v>#VALUE!</v>
      </c>
      <c r="M64" s="302" t="e">
        <f t="shared" ref="M64:M65" ca="1" si="1">ROUND(L64,1)</f>
        <v>#VALUE!</v>
      </c>
      <c r="N64" s="2544" t="s">
        <v>1381</v>
      </c>
      <c r="Z64" s="1752"/>
      <c r="AI64" s="1753"/>
    </row>
    <row r="65" spans="1:35" ht="14.25" customHeight="1">
      <c r="A65" s="169" t="s">
        <v>326</v>
      </c>
      <c r="B65" s="170" t="s">
        <v>1382</v>
      </c>
      <c r="C65" s="2566"/>
      <c r="D65" s="170"/>
      <c r="E65" s="172"/>
      <c r="F65" s="1808"/>
      <c r="G65" s="1808"/>
      <c r="H65" s="1810"/>
      <c r="I65" s="129"/>
      <c r="J65" s="3846"/>
      <c r="K65" s="3454" t="s">
        <v>1383</v>
      </c>
      <c r="L65" s="3454" t="e">
        <f ca="1">IF(M49&gt;1000,M49*0.1%,IF(AND(M49&gt;500,M49&lt;=1000),M49*0.5%,IF(AND(M49&gt;50,M49&lt;=500),M49*1%,IF(AND(M49&gt;1,M49&lt;=50),M49*1.5%))))</f>
        <v>#VALUE!</v>
      </c>
      <c r="M65" s="302" t="e">
        <f t="shared" ca="1" si="1"/>
        <v>#VALUE!</v>
      </c>
      <c r="N65" s="2544" t="s">
        <v>1381</v>
      </c>
      <c r="Z65" s="1752"/>
      <c r="AI65" s="1753"/>
    </row>
    <row r="66" spans="1:35" ht="14.25" customHeight="1">
      <c r="A66" s="173" t="s">
        <v>327</v>
      </c>
      <c r="B66" s="174" t="s">
        <v>1384</v>
      </c>
      <c r="C66" s="2567"/>
      <c r="D66" s="174" t="s">
        <v>26</v>
      </c>
      <c r="E66" s="1338" t="s">
        <v>669</v>
      </c>
      <c r="F66" s="1808"/>
      <c r="G66" s="1808"/>
      <c r="H66" s="1810"/>
      <c r="I66" s="129"/>
      <c r="J66" s="3846"/>
      <c r="K66" s="3454" t="s">
        <v>1385</v>
      </c>
      <c r="L66" s="3454" t="e">
        <f ca="1">M49*0.5%</f>
        <v>#VALUE!</v>
      </c>
      <c r="M66" s="302" t="e">
        <f ca="1">IF(L66&gt;0.5,0.5,ROUND(L66,0))</f>
        <v>#VALUE!</v>
      </c>
      <c r="N66" s="2544" t="s">
        <v>1386</v>
      </c>
      <c r="Z66" s="1752"/>
      <c r="AI66" s="1753"/>
    </row>
    <row r="67" spans="1:35" ht="14.25" customHeight="1">
      <c r="A67" s="173" t="s">
        <v>328</v>
      </c>
      <c r="B67" s="174" t="s">
        <v>1387</v>
      </c>
      <c r="C67" s="2568" t="e">
        <f ca="1">C63-C66</f>
        <v>#REF!</v>
      </c>
      <c r="D67" s="170" t="s">
        <v>26</v>
      </c>
      <c r="E67" s="172"/>
      <c r="F67" s="1808"/>
      <c r="G67" s="1808"/>
      <c r="H67" s="1810"/>
      <c r="I67" s="129"/>
      <c r="J67" s="3846"/>
      <c r="K67" s="3454" t="s">
        <v>1388</v>
      </c>
      <c r="L67" s="3454" t="e">
        <f ca="1">IF(M49&gt;=10000,(8.25+(M49-10000)*0.01%),IF(AND(M49&gt;=8000,M49&lt;10000),(7.85+(M49-8000)*0.02%),IF(AND(M49&gt;=5000,M49&lt;8000),(6.65+(M49-5000)*0.04%),IF(AND(M49&gt;=2000,M49&lt;5000),(4.25+(PM49-2000)*0.08%),IF(AND(M49&gt;=1000,M49&lt;2000),(2.75+(M49-1000)*0.15%),IF(AND(M49&gt;=100,M49&lt;1000),(0.5+(M49-100)*0.25%),IF(AND(M49&gt;0,M49&lt;100),M49*0.5%)))))))</f>
        <v>#VALUE!</v>
      </c>
      <c r="M67" s="302" t="e">
        <f ca="1">ROUND(L67*0.9,1)</f>
        <v>#VALUE!</v>
      </c>
      <c r="N67" s="2543"/>
      <c r="Z67" s="1752"/>
      <c r="AI67" s="1753"/>
    </row>
    <row r="68" spans="1:35" ht="14.25" customHeight="1" thickBot="1">
      <c r="A68" s="176" t="s">
        <v>329</v>
      </c>
      <c r="B68" s="177" t="s">
        <v>1389</v>
      </c>
      <c r="C68" s="2569" t="e">
        <f ca="1">IF(C67&lt;=0,0,ROUND(C67*D68,0))</f>
        <v>#REF!</v>
      </c>
      <c r="D68" s="2570">
        <f>'数据-取费表'!B41</f>
        <v>5.6000000000000001E-2</v>
      </c>
      <c r="E68" s="178"/>
      <c r="F68" s="1808"/>
      <c r="G68" s="1808"/>
      <c r="H68" s="1810"/>
      <c r="I68" s="129"/>
      <c r="J68" s="3846"/>
      <c r="K68" s="3454" t="s">
        <v>1390</v>
      </c>
      <c r="L68" s="3454" t="e">
        <f ca="1">IF(M49&gt;10000,M49*0.5%,IF(AND(M49&gt;5000,M49&lt;=10000),M49*1%,IF(AND(M49&gt;1000,M49&lt;=5000),M49*2%,IF(AND(M49&gt;200,M49&lt;=1000),M49*3%,M49*5%))))</f>
        <v>#VALUE!</v>
      </c>
      <c r="M68" s="302" t="e">
        <f ca="1">ROUND(L68,1)</f>
        <v>#VALUE!</v>
      </c>
      <c r="N68" s="2543"/>
      <c r="Z68" s="1752"/>
      <c r="AI68" s="1753"/>
    </row>
    <row r="69" spans="1:35" s="1772" customFormat="1" ht="16.5" customHeight="1">
      <c r="A69" s="1811"/>
      <c r="B69" s="1812"/>
      <c r="C69" s="1813"/>
      <c r="D69" s="1814"/>
      <c r="E69" s="1815"/>
      <c r="F69" s="1578"/>
      <c r="G69" s="1578"/>
      <c r="H69" s="1577"/>
      <c r="I69" s="1747"/>
      <c r="J69" s="3846"/>
      <c r="K69" s="3454" t="s">
        <v>1391</v>
      </c>
      <c r="L69" s="3454"/>
      <c r="M69" s="302" t="e">
        <f ca="1">ROUND(SUM(M63:M68),0)</f>
        <v>#VALUE!</v>
      </c>
      <c r="N69" s="2545" t="e">
        <f ca="1">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808" t="s">
        <v>1392</v>
      </c>
      <c r="B70" s="3809"/>
      <c r="C70" s="3809"/>
      <c r="D70" s="3809"/>
      <c r="E70" s="3809"/>
      <c r="F70" s="3809"/>
      <c r="G70" s="3809"/>
      <c r="H70" s="3809"/>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787" t="s">
        <v>1373</v>
      </c>
      <c r="B71" s="3788"/>
      <c r="C71" s="3463"/>
      <c r="D71" s="3463" t="s">
        <v>1374</v>
      </c>
      <c r="E71" s="179" t="s">
        <v>1375</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1393</v>
      </c>
      <c r="C72" s="2568" t="e">
        <f ca="1">ROUND(D45/(1+'数据-取费表'!C42),0)</f>
        <v>#REF!</v>
      </c>
      <c r="D72" s="170" t="s">
        <v>26</v>
      </c>
      <c r="E72" s="3465"/>
      <c r="F72" s="3464"/>
      <c r="G72" s="3464"/>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1394</v>
      </c>
      <c r="C73" s="2568" t="e">
        <f ca="1">C74+C78</f>
        <v>#REF!</v>
      </c>
      <c r="D73" s="170" t="s">
        <v>26</v>
      </c>
      <c r="E73" s="3465"/>
      <c r="F73" s="3464"/>
      <c r="G73" s="3464"/>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1395</v>
      </c>
      <c r="C74" s="170">
        <f>ROUND(IF(G77="2016年5月1日后购买",C75/(1+'数据-取费表'!C42)+C76+C77,C75+C76+C77),0)</f>
        <v>0</v>
      </c>
      <c r="D74" s="170" t="s">
        <v>26</v>
      </c>
      <c r="E74" s="3465"/>
      <c r="F74" s="3464"/>
      <c r="G74" s="3464"/>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1396</v>
      </c>
      <c r="C75" s="2571"/>
      <c r="D75" s="170" t="s">
        <v>26</v>
      </c>
      <c r="E75" s="184" t="s">
        <v>1397</v>
      </c>
      <c r="F75" s="2572"/>
      <c r="G75" s="184" t="s">
        <v>1398</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1399</v>
      </c>
      <c r="C76" s="170">
        <f>IF(F75="购房发票",ROUND(C75*H75*D76,0),0)</f>
        <v>0</v>
      </c>
      <c r="D76" s="2574">
        <v>0.05</v>
      </c>
      <c r="E76" s="3782" t="s">
        <v>1400</v>
      </c>
      <c r="F76" s="3756"/>
      <c r="G76" s="3756"/>
      <c r="H76" s="380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1401</v>
      </c>
      <c r="C77" s="170">
        <f>ROUND(IF(G77="个人住宅",0,IF(G77="2016年5月1日前购买",C75*D77,C75*D77/(1+'数据-取费表'!C42))),0)</f>
        <v>0</v>
      </c>
      <c r="D77" s="2575">
        <f>'数据-取费表'!B48+'数据-取费表'!B49</f>
        <v>3.0499999999999999E-2</v>
      </c>
      <c r="E77" s="3453" t="s">
        <v>1402</v>
      </c>
      <c r="F77" s="186"/>
      <c r="G77" s="1822"/>
      <c r="H77" s="3466"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1403</v>
      </c>
      <c r="C78" s="2576" t="e">
        <f ca="1">ROUND(D45*D78/(1+'数据-取费表'!C42),0)</f>
        <v>#REF!</v>
      </c>
      <c r="D78" s="2577">
        <f>'数据-取费表'!B43</f>
        <v>6.000000000000001E-3</v>
      </c>
      <c r="E78" s="3766" t="s">
        <v>1404</v>
      </c>
      <c r="F78" s="3767"/>
      <c r="G78" s="3767"/>
      <c r="H78" s="377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328</v>
      </c>
      <c r="B79" s="174" t="s">
        <v>1405</v>
      </c>
      <c r="C79" s="2568" t="e">
        <f ca="1">C72-C73</f>
        <v>#REF!</v>
      </c>
      <c r="D79" s="170" t="s">
        <v>26</v>
      </c>
      <c r="E79" s="3465"/>
      <c r="F79" s="3464"/>
      <c r="G79" s="3464"/>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1406</v>
      </c>
      <c r="C80" s="2578" t="e">
        <f ca="1">IF(C79&lt;=0,0,C79/C73)</f>
        <v>#REF!</v>
      </c>
      <c r="D80" s="170" t="s">
        <v>26</v>
      </c>
      <c r="E80" s="3453" t="e">
        <f ca="1">IF(C80&gt;=200%,"增值额超过扣除项目金额200%",IF(C80&gt;=100%,"增值额超过扣除项目金额100%，未超过200%",IF(C80&gt;=50%,"增值额超过扣除项目金额50%，未超过100%",IF(C80&lt;50%,"增值额未超过扣除项目金额50%"))))</f>
        <v>#REF!</v>
      </c>
      <c r="F80" s="3464"/>
      <c r="G80" s="3464"/>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1407</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808" t="s">
        <v>1408</v>
      </c>
      <c r="B83" s="3809"/>
      <c r="C83" s="3809"/>
      <c r="D83" s="3809"/>
      <c r="E83" s="3809"/>
      <c r="F83" s="3809"/>
      <c r="G83" s="3809"/>
      <c r="H83" s="380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787" t="s">
        <v>1373</v>
      </c>
      <c r="B84" s="3788"/>
      <c r="C84" s="3463"/>
      <c r="D84" s="3463" t="s">
        <v>1374</v>
      </c>
      <c r="E84" s="179" t="s">
        <v>1375</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1393</v>
      </c>
      <c r="C85" s="2568" t="e">
        <f ca="1">ROUND(D45/(1+'数据-取费表'!C42),0)</f>
        <v>#REF!</v>
      </c>
      <c r="D85" s="170" t="s">
        <v>26</v>
      </c>
      <c r="E85" s="3465"/>
      <c r="F85" s="3464"/>
      <c r="G85" s="3464"/>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1394</v>
      </c>
      <c r="C86" s="2568" t="e">
        <f ca="1">IF(H88="仅含出让金",C87+C90+C91+C92+C93+C94,C87+C91+C92+C93+C94)</f>
        <v>#REF!</v>
      </c>
      <c r="D86" s="2581"/>
      <c r="E86" s="3465"/>
      <c r="F86" s="3464"/>
      <c r="G86" s="3464"/>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1409</v>
      </c>
      <c r="C87" s="2576">
        <f>C88+C89</f>
        <v>0</v>
      </c>
      <c r="D87" s="2577"/>
      <c r="E87" s="3460"/>
      <c r="F87" s="3461"/>
      <c r="G87" s="3461"/>
      <c r="H87" s="3462"/>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1410</v>
      </c>
      <c r="C88" s="2582"/>
      <c r="D88" s="2577"/>
      <c r="E88" s="193" t="s">
        <v>1411</v>
      </c>
      <c r="F88" s="3461"/>
      <c r="G88" s="194" t="s">
        <v>1412</v>
      </c>
      <c r="H88" s="1824"/>
      <c r="I88" s="1821"/>
      <c r="J88" s="2521" t="s">
        <v>2285</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1401</v>
      </c>
      <c r="C89" s="2576">
        <f>ROUND(C88*D89,0)</f>
        <v>0</v>
      </c>
      <c r="D89" s="2577">
        <f>'数据-取费表'!B48+'数据-取费表'!B49</f>
        <v>3.0499999999999999E-2</v>
      </c>
      <c r="E89" s="193" t="s">
        <v>1413</v>
      </c>
      <c r="F89" s="3461"/>
      <c r="G89" s="3461"/>
      <c r="H89" s="3462"/>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1414</v>
      </c>
      <c r="C90" s="2582"/>
      <c r="D90" s="2577"/>
      <c r="E90" s="193" t="str">
        <f>IF(H88="-","土地取得成本中已包含该笔费用"," ")</f>
        <v xml:space="preserve"> </v>
      </c>
      <c r="F90" s="3461"/>
      <c r="G90" s="3848" t="s">
        <v>2126</v>
      </c>
      <c r="H90" s="3849"/>
      <c r="I90" s="1821"/>
      <c r="J90" s="2521" t="s">
        <v>2286</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1415</v>
      </c>
      <c r="B91" s="170" t="s">
        <v>1416</v>
      </c>
      <c r="C91" s="2576">
        <f>IF(H91="——",成本法!C33,I91)</f>
        <v>0</v>
      </c>
      <c r="D91" s="2577"/>
      <c r="E91" s="3766" t="s">
        <v>1417</v>
      </c>
      <c r="F91" s="3767"/>
      <c r="G91" s="376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1418</v>
      </c>
      <c r="B92" s="170" t="s">
        <v>1419</v>
      </c>
      <c r="C92" s="2576">
        <f>ROUND((C87+C90+C91)*D92,0)</f>
        <v>0</v>
      </c>
      <c r="D92" s="2583"/>
      <c r="E92" s="3766" t="s">
        <v>1420</v>
      </c>
      <c r="F92" s="3767"/>
      <c r="G92" s="3767"/>
      <c r="H92" s="3776"/>
      <c r="I92" s="1821"/>
      <c r="J92" s="2522" t="s">
        <v>2287</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1421</v>
      </c>
      <c r="B93" s="170" t="s">
        <v>1403</v>
      </c>
      <c r="C93" s="2576" t="e">
        <f ca="1">ROUND(D45*D93/(1+'数据-取费表'!C42),0)</f>
        <v>#REF!</v>
      </c>
      <c r="D93" s="2577">
        <f>'数据-取费表'!B43</f>
        <v>6.000000000000001E-3</v>
      </c>
      <c r="E93" s="3766" t="s">
        <v>1404</v>
      </c>
      <c r="F93" s="3767"/>
      <c r="G93" s="3767"/>
      <c r="H93" s="377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1422</v>
      </c>
      <c r="B94" s="170" t="s">
        <v>1423</v>
      </c>
      <c r="C94" s="2582">
        <f>ROUND((C87+C90+C91)*D94,0)</f>
        <v>0</v>
      </c>
      <c r="D94" s="2577">
        <v>0.2</v>
      </c>
      <c r="E94" s="3777" t="s">
        <v>1424</v>
      </c>
      <c r="F94" s="3778"/>
      <c r="G94" s="3778"/>
      <c r="H94" s="377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328</v>
      </c>
      <c r="B95" s="174" t="s">
        <v>1405</v>
      </c>
      <c r="C95" s="2568" t="e">
        <f ca="1">ROUND(C85-C86,0)</f>
        <v>#REF!</v>
      </c>
      <c r="D95" s="170" t="s">
        <v>26</v>
      </c>
      <c r="E95" s="3465"/>
      <c r="F95" s="3464"/>
      <c r="G95" s="3464"/>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1406</v>
      </c>
      <c r="C96" s="2578" t="e">
        <f ca="1">IF(C95&lt;=0,0,C95/C86)</f>
        <v>#REF!</v>
      </c>
      <c r="D96" s="170" t="s">
        <v>26</v>
      </c>
      <c r="E96" s="3453" t="e">
        <f ca="1">IF(C96&gt;=200%,"增值额超过扣除项目金额200%",IF(C96&gt;=100%,"增值额超过扣除项目金额100%，未超过200%",IF(C96&gt;=50%,"增值额超过扣除项目金额50%，未超过100%",IF(C96&lt;50%,"增值额未超过扣除项目金额50%"))))</f>
        <v>#REF!</v>
      </c>
      <c r="F96" s="3464"/>
      <c r="G96" s="3464"/>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1407</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1425</v>
      </c>
      <c r="B99" s="1747"/>
      <c r="C99" s="1747"/>
      <c r="D99" s="1747"/>
      <c r="E99" s="1578"/>
      <c r="F99" s="1578"/>
      <c r="G99" s="1578"/>
      <c r="H99" s="1577"/>
      <c r="I99" s="129"/>
    </row>
    <row r="100" spans="1:35" ht="18.75" customHeight="1">
      <c r="A100" s="3750" t="s">
        <v>1426</v>
      </c>
      <c r="B100" s="3751"/>
      <c r="C100" s="3751"/>
      <c r="D100" s="3768"/>
      <c r="E100" s="3751" t="s">
        <v>1427</v>
      </c>
      <c r="F100" s="3751"/>
      <c r="G100" s="3751"/>
      <c r="H100" s="3768"/>
      <c r="I100" s="129"/>
    </row>
    <row r="101" spans="1:35" ht="18.75" customHeight="1">
      <c r="A101" s="3829" t="s">
        <v>1428</v>
      </c>
      <c r="B101" s="3830"/>
      <c r="C101" s="2585" t="str">
        <f>C4</f>
        <v>典型户型修正</v>
      </c>
      <c r="D101" s="2586" t="str">
        <f>D4</f>
        <v>收益法(商业)</v>
      </c>
      <c r="E101" s="3843" t="s">
        <v>1429</v>
      </c>
      <c r="F101" s="3800"/>
      <c r="G101" s="1827" t="s">
        <v>1430</v>
      </c>
      <c r="H101" s="2595" t="e">
        <f ca="1">H118</f>
        <v>#REF!</v>
      </c>
      <c r="I101" s="129"/>
    </row>
    <row r="102" spans="1:35" ht="18.75" customHeight="1">
      <c r="A102" s="3802" t="s">
        <v>1431</v>
      </c>
      <c r="B102" s="2584" t="s">
        <v>1430</v>
      </c>
      <c r="C102" s="2585">
        <f ca="1">IF(D32="楼面单价",ROUND(C19,0),C19)</f>
        <v>58264</v>
      </c>
      <c r="D102" s="2586" t="e">
        <f ca="1">IF(D32="楼面单价",ROUND(D19,0),D19)</f>
        <v>#N/A</v>
      </c>
      <c r="E102" s="3843"/>
      <c r="F102" s="3800"/>
      <c r="G102" s="1827" t="s">
        <v>1432</v>
      </c>
      <c r="H102" s="2555" t="e">
        <f ca="1">I118</f>
        <v>#REF!</v>
      </c>
      <c r="I102" s="129"/>
    </row>
    <row r="103" spans="1:35" ht="42.75" customHeight="1">
      <c r="A103" s="3802"/>
      <c r="B103" s="2584" t="s">
        <v>1432</v>
      </c>
      <c r="C103" s="2587">
        <f ca="1">C20</f>
        <v>46477</v>
      </c>
      <c r="D103" s="2588">
        <f ca="1">D20</f>
        <v>0</v>
      </c>
      <c r="E103" s="3837" t="s">
        <v>1433</v>
      </c>
      <c r="F103" s="3838"/>
      <c r="G103" s="1828" t="s">
        <v>1434</v>
      </c>
      <c r="H103" s="2595">
        <f>IF(D36="正常操作",H104+H105+H106,H105+H106)</f>
        <v>0</v>
      </c>
      <c r="I103" s="129"/>
    </row>
    <row r="104" spans="1:35" ht="18.75" customHeight="1">
      <c r="A104" s="3802" t="s">
        <v>1435</v>
      </c>
      <c r="B104" s="2589" t="s">
        <v>1430</v>
      </c>
      <c r="C104" s="2590" t="e">
        <f ca="1">H118</f>
        <v>#REF!</v>
      </c>
      <c r="D104" s="2591"/>
      <c r="E104" s="1674" t="s">
        <v>1436</v>
      </c>
      <c r="F104" s="1666"/>
      <c r="G104" s="1828" t="s">
        <v>1434</v>
      </c>
      <c r="H104" s="2596">
        <f>IF(D36="同一抵押权人同一抵押物续贷",C36&amp;"（续贷，未扣减，详见特别提示）",C36)</f>
        <v>0</v>
      </c>
      <c r="I104" s="129"/>
    </row>
    <row r="105" spans="1:35" ht="18.75" customHeight="1" thickBot="1">
      <c r="A105" s="3803"/>
      <c r="B105" s="2592" t="s">
        <v>1432</v>
      </c>
      <c r="C105" s="2593" t="e">
        <f ca="1">I118</f>
        <v>#REF!</v>
      </c>
      <c r="D105" s="2594"/>
      <c r="E105" s="1674" t="s">
        <v>1437</v>
      </c>
      <c r="F105" s="1666"/>
      <c r="G105" s="1828" t="s">
        <v>1434</v>
      </c>
      <c r="H105" s="2597">
        <f>C37</f>
        <v>0</v>
      </c>
      <c r="I105" s="129"/>
    </row>
    <row r="106" spans="1:35" ht="18.75" customHeight="1">
      <c r="A106" s="1747" t="s">
        <v>1438</v>
      </c>
      <c r="B106" s="1747"/>
      <c r="C106" s="1747"/>
      <c r="D106" s="1747"/>
      <c r="E106" s="1829" t="s">
        <v>1439</v>
      </c>
      <c r="F106" s="1666"/>
      <c r="G106" s="1828" t="s">
        <v>1434</v>
      </c>
      <c r="H106" s="2597">
        <f>C38</f>
        <v>0</v>
      </c>
      <c r="I106" s="129"/>
    </row>
    <row r="107" spans="1:35" ht="18.75" customHeight="1">
      <c r="A107" s="129"/>
      <c r="B107" s="129"/>
      <c r="C107" s="129"/>
      <c r="D107" s="129"/>
      <c r="E107" s="3799" t="str">
        <f>IF(项目基本情况!E8="已注销","——","3.房地产抵押价值")</f>
        <v>3.房地产抵押价值</v>
      </c>
      <c r="F107" s="3800"/>
      <c r="G107" s="1827" t="s">
        <v>1430</v>
      </c>
      <c r="H107" s="2595" t="e">
        <f ca="1">IF(E107="——","——",H101-H103)</f>
        <v>#REF!</v>
      </c>
      <c r="I107" s="129"/>
    </row>
    <row r="108" spans="1:35" ht="18.75" customHeight="1">
      <c r="A108" s="129"/>
      <c r="B108" s="129"/>
      <c r="C108" s="129"/>
      <c r="D108" s="129"/>
      <c r="E108" s="3799"/>
      <c r="F108" s="3800"/>
      <c r="G108" s="1827" t="s">
        <v>1432</v>
      </c>
      <c r="H108" s="2555">
        <f ca="1">IF(H107=H101,H102,ROUND(H107*10000/'数据-汇总表'!E3,0))</f>
        <v>0</v>
      </c>
      <c r="I108" s="129"/>
    </row>
    <row r="109" spans="1:35" ht="18.75" customHeight="1">
      <c r="A109" s="129"/>
      <c r="B109" s="129"/>
      <c r="C109" s="129"/>
      <c r="D109" s="129"/>
      <c r="E109" s="3799" t="str">
        <f>IF(项目基本情况!E8="已注销及未注销","4.抵押担保权已注销时的房地产抵押价值",IF(项目基本情况!E8="已注销","3.抵押担保权已注销时的房地产抵押价值","——"))</f>
        <v>——</v>
      </c>
      <c r="F109" s="3800"/>
      <c r="G109" s="1827" t="s">
        <v>1430</v>
      </c>
      <c r="H109" s="2598" t="str">
        <f>IF(E109="——","——",H101-H105-H106)</f>
        <v>——</v>
      </c>
      <c r="I109" s="129"/>
    </row>
    <row r="110" spans="1:35" ht="18.75" customHeight="1">
      <c r="A110" s="129"/>
      <c r="B110" s="129"/>
      <c r="C110" s="129"/>
      <c r="D110" s="129"/>
      <c r="E110" s="3799"/>
      <c r="F110" s="3800"/>
      <c r="G110" s="1827" t="s">
        <v>1432</v>
      </c>
      <c r="H110" s="2555" t="str">
        <f>IF(H109="——","——",ROUND(H109*10000/'数据-汇总表'!E3,0))</f>
        <v>——</v>
      </c>
      <c r="I110" s="129"/>
    </row>
    <row r="111" spans="1:35" ht="18.75" customHeight="1">
      <c r="A111" s="129"/>
      <c r="B111" s="129"/>
      <c r="C111" s="129"/>
      <c r="D111" s="129"/>
      <c r="E111" s="3831" t="str">
        <f>IF(项目基本情况!E9="抵押净值",IF(OR(项目基本情况!E8="已注销",项目基本情况!E8="房地产抵押价值"),"4.抵押净值","5.抵押净值"),"——")</f>
        <v>——</v>
      </c>
      <c r="F111" s="3801"/>
      <c r="G111" s="1827" t="s">
        <v>1430</v>
      </c>
      <c r="H111" s="2595" t="str">
        <f>IF(E111="——","——",N59)</f>
        <v>——</v>
      </c>
      <c r="I111" s="129"/>
    </row>
    <row r="112" spans="1:35" ht="18.75" customHeight="1" thickBot="1">
      <c r="A112" s="129"/>
      <c r="B112" s="129"/>
      <c r="C112" s="129"/>
      <c r="D112" s="129"/>
      <c r="E112" s="3832"/>
      <c r="F112" s="3833"/>
      <c r="G112" s="1830" t="s">
        <v>1432</v>
      </c>
      <c r="H112" s="2599" t="str">
        <f>IF(E111="——","——",N61)</f>
        <v>——</v>
      </c>
      <c r="I112" s="129"/>
    </row>
    <row r="113" spans="1:27" ht="18.75" customHeight="1">
      <c r="A113" s="129"/>
      <c r="B113" s="129"/>
      <c r="C113" s="129"/>
      <c r="D113" s="129"/>
      <c r="E113" s="3804" t="s">
        <v>1438</v>
      </c>
      <c r="F113" s="3804"/>
      <c r="G113" s="3804"/>
      <c r="H113" s="3804"/>
      <c r="I113" s="129"/>
    </row>
    <row r="114" spans="1:27" ht="3.75" customHeight="1">
      <c r="A114" s="1747"/>
      <c r="B114" s="1747"/>
      <c r="C114" s="1747"/>
      <c r="D114" s="1747"/>
      <c r="E114" s="1809"/>
      <c r="F114" s="1809"/>
      <c r="G114" s="1809"/>
      <c r="H114" s="1809"/>
      <c r="I114" s="1747"/>
    </row>
    <row r="115" spans="1:27" ht="18.75" customHeight="1">
      <c r="A115" s="3814" t="s">
        <v>1440</v>
      </c>
      <c r="B115" s="3815"/>
      <c r="C115" s="3815"/>
      <c r="D115" s="3815"/>
      <c r="E115" s="3815"/>
      <c r="F115" s="3815"/>
      <c r="G115" s="3815"/>
      <c r="H115" s="3815"/>
      <c r="I115" s="3816"/>
    </row>
    <row r="116" spans="1:27" ht="27" customHeight="1">
      <c r="A116" s="3770" t="s">
        <v>1441</v>
      </c>
      <c r="B116" s="3805" t="s">
        <v>1442</v>
      </c>
      <c r="C116" s="3805" t="s">
        <v>1443</v>
      </c>
      <c r="D116" s="3818" t="s">
        <v>1444</v>
      </c>
      <c r="E116" s="3819"/>
      <c r="F116" s="3813" t="s">
        <v>1445</v>
      </c>
      <c r="G116" s="3813"/>
      <c r="H116" s="3770" t="s">
        <v>1446</v>
      </c>
      <c r="I116" s="3770"/>
    </row>
    <row r="117" spans="1:27" ht="18.75" customHeight="1">
      <c r="A117" s="3770"/>
      <c r="B117" s="3806"/>
      <c r="C117" s="3806"/>
      <c r="D117" s="3456" t="s">
        <v>1447</v>
      </c>
      <c r="E117" s="3456" t="s">
        <v>1448</v>
      </c>
      <c r="F117" s="3456" t="s">
        <v>1447</v>
      </c>
      <c r="G117" s="3456" t="s">
        <v>1449</v>
      </c>
      <c r="H117" s="3456" t="s">
        <v>1447</v>
      </c>
      <c r="I117" s="3456" t="s">
        <v>1449</v>
      </c>
    </row>
    <row r="118" spans="1:27" ht="24.75" customHeight="1">
      <c r="A118" s="2600" t="str">
        <f>项目基本情况!S2</f>
        <v>北京市房地产</v>
      </c>
      <c r="B118" s="3456">
        <f>M18</f>
        <v>18448.600000000002</v>
      </c>
      <c r="C118" s="3456">
        <f>M19</f>
        <v>0</v>
      </c>
      <c r="D118" s="3456" t="e">
        <f ca="1">ROUND(IF(D32="总价",C34,E118*B118/10000),0)</f>
        <v>#REF!</v>
      </c>
      <c r="E118" s="3456" t="e">
        <f ca="1">ROUND(IF(C33="自定义",IF(D32="楼面单价",C34,D118*10000/B118),I118-G118),0)</f>
        <v>#REF!</v>
      </c>
      <c r="F118" s="3456" t="e">
        <f ca="1">ROUND(IF(D32="总价",C35,G118*B118/10000),0)</f>
        <v>#REF!</v>
      </c>
      <c r="G118" s="3456" t="e">
        <f ca="1">ROUND(IF(D32="楼面单价",C35,F118*10000/B118),0)</f>
        <v>#REF!</v>
      </c>
      <c r="H118" s="3456" t="e">
        <f ca="1">ROUND(IF(D32="总价",C32,I118*B118/10000),0)</f>
        <v>#REF!</v>
      </c>
      <c r="I118" s="3456" t="e">
        <f ca="1">ROUND(IF(D32="楼面单价",C32,H118*10000/B118),0)</f>
        <v>#REF!</v>
      </c>
    </row>
    <row r="119" spans="1:27" ht="18.75" customHeight="1">
      <c r="A119" s="3770" t="s">
        <v>1450</v>
      </c>
      <c r="B119" s="3770"/>
      <c r="C119" s="3770"/>
      <c r="D119" s="3810" t="e">
        <f ca="1">NUMBERSTRING(INT(D118*10000),2)&amp;"元整"</f>
        <v>#REF!</v>
      </c>
      <c r="E119" s="3812"/>
      <c r="F119" s="3810" t="e">
        <f ca="1">NUMBERSTRING(INT(F118*10000),2)&amp;"元整"</f>
        <v>#REF!</v>
      </c>
      <c r="G119" s="3812"/>
      <c r="H119" s="3810" t="e">
        <f ca="1">NUMBERSTRING(INT(H118*10000),2)&amp;"元整"</f>
        <v>#REF!</v>
      </c>
      <c r="I119" s="3812"/>
    </row>
    <row r="120" spans="1:27" ht="18.75" customHeight="1">
      <c r="A120" s="3834" t="str">
        <f>IF(项目基本情况!B9="房地产市场价值","",MID(E103,3,LEN(E103)-2))</f>
        <v>估价师知悉的法定优先受偿款</v>
      </c>
      <c r="B120" s="3835"/>
      <c r="C120" s="3836"/>
      <c r="D120" s="3834">
        <f>H103</f>
        <v>0</v>
      </c>
      <c r="E120" s="3835"/>
      <c r="F120" s="3835"/>
      <c r="G120" s="3835"/>
      <c r="H120" s="3835"/>
      <c r="I120" s="3836"/>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810" t="s">
        <v>1450</v>
      </c>
      <c r="B121" s="3811"/>
      <c r="C121" s="3812"/>
      <c r="D121" s="3810" t="str">
        <f>IF(D120=0,"零元整",NUMBERSTRING(INT(D120*10000),2)&amp;"元整")</f>
        <v>零元整</v>
      </c>
      <c r="E121" s="3811"/>
      <c r="F121" s="3811"/>
      <c r="G121" s="3811"/>
      <c r="H121" s="3811"/>
      <c r="I121" s="3812"/>
      <c r="AA121" s="725"/>
    </row>
    <row r="122" spans="1:27" ht="18.75" customHeight="1">
      <c r="A122" s="3801" t="str">
        <f>IF(项目基本情况!B9="房地产市场价值","",MID(E107,3,LEN(E107)-2))</f>
        <v>房地产抵押价值</v>
      </c>
      <c r="B122" s="3801"/>
      <c r="C122" s="3801"/>
      <c r="D122" s="3834" t="e">
        <f ca="1">H107</f>
        <v>#REF!</v>
      </c>
      <c r="E122" s="3835"/>
      <c r="F122" s="3835"/>
      <c r="G122" s="3835"/>
      <c r="H122" s="3835"/>
      <c r="I122" s="3836"/>
      <c r="AA122" s="725"/>
    </row>
    <row r="123" spans="1:27" ht="18.75" customHeight="1">
      <c r="A123" s="3770" t="s">
        <v>1450</v>
      </c>
      <c r="B123" s="3770"/>
      <c r="C123" s="3770"/>
      <c r="D123" s="3810" t="e">
        <f ca="1">NUMBERSTRING(INT(D122*10000),2)&amp;"元整"</f>
        <v>#REF!</v>
      </c>
      <c r="E123" s="3811"/>
      <c r="F123" s="3811"/>
      <c r="G123" s="3811"/>
      <c r="H123" s="3811"/>
      <c r="I123" s="3812"/>
      <c r="AA123" s="725"/>
    </row>
    <row r="124" spans="1:27" ht="18.75" customHeight="1">
      <c r="A124" s="3801" t="str">
        <f>IF(项目基本情况!B9="房地产市场价值","",MID(E109,3,LEN(E109)-2))</f>
        <v/>
      </c>
      <c r="B124" s="3801"/>
      <c r="C124" s="3801"/>
      <c r="D124" s="3834" t="str">
        <f>H109</f>
        <v>——</v>
      </c>
      <c r="E124" s="3835"/>
      <c r="F124" s="3835"/>
      <c r="G124" s="3835"/>
      <c r="H124" s="3835"/>
      <c r="I124" s="3836"/>
      <c r="AA124" s="725"/>
    </row>
    <row r="125" spans="1:27" ht="18.75" customHeight="1">
      <c r="A125" s="3770" t="s">
        <v>1450</v>
      </c>
      <c r="B125" s="3770"/>
      <c r="C125" s="3770"/>
      <c r="D125" s="3810" t="e">
        <f>NUMBERSTRING(INT(D124*10000),2)&amp;"元整"</f>
        <v>#VALUE!</v>
      </c>
      <c r="E125" s="3811"/>
      <c r="F125" s="3811"/>
      <c r="G125" s="3811"/>
      <c r="H125" s="3811"/>
      <c r="I125" s="3812"/>
      <c r="AA125" s="725"/>
    </row>
    <row r="126" spans="1:27" ht="18.75" customHeight="1">
      <c r="A126" s="3801" t="str">
        <f>IF(项目基本情况!B9="房地产市场价值","",MID(E111,3,LEN(E111)-2))</f>
        <v/>
      </c>
      <c r="B126" s="3801"/>
      <c r="C126" s="3801"/>
      <c r="D126" s="3834" t="str">
        <f>H111</f>
        <v>——</v>
      </c>
      <c r="E126" s="3835"/>
      <c r="F126" s="3835"/>
      <c r="G126" s="3835"/>
      <c r="H126" s="3835"/>
      <c r="I126" s="3836"/>
      <c r="AA126" s="725"/>
    </row>
    <row r="127" spans="1:27" ht="18.75" customHeight="1">
      <c r="A127" s="3770" t="s">
        <v>1450</v>
      </c>
      <c r="B127" s="3770"/>
      <c r="C127" s="3770"/>
      <c r="D127" s="3810" t="e">
        <f>NUMBERSTRING(INT(D126*10000),2)&amp;"元整"</f>
        <v>#VALUE!</v>
      </c>
      <c r="E127" s="3811"/>
      <c r="F127" s="3811"/>
      <c r="G127" s="3811"/>
      <c r="H127" s="3811"/>
      <c r="I127" s="3812"/>
      <c r="AA127" s="725"/>
    </row>
    <row r="128" spans="1:27" ht="21.75" customHeight="1">
      <c r="A128" s="3817" t="s">
        <v>1451</v>
      </c>
      <c r="B128" s="3817"/>
      <c r="C128" s="3817"/>
      <c r="D128" s="3817"/>
      <c r="E128" s="3817"/>
      <c r="F128" s="3817"/>
      <c r="G128" s="3817"/>
      <c r="H128" s="3817"/>
      <c r="I128" s="3817"/>
      <c r="AA128" s="725"/>
    </row>
    <row r="129" spans="1:35" ht="21.75" customHeight="1">
      <c r="A129" s="1831" t="s">
        <v>1452</v>
      </c>
      <c r="B129" s="1832"/>
      <c r="C129" s="1833" t="s">
        <v>1453</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1454</v>
      </c>
      <c r="G135" s="1848"/>
      <c r="H135" s="1848"/>
      <c r="I135" s="1849" t="s">
        <v>1455</v>
      </c>
    </row>
    <row r="136" spans="1:35" ht="21.75" customHeight="1">
      <c r="A136" s="725"/>
      <c r="B136" s="1850" t="s">
        <v>1456</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1457</v>
      </c>
    </row>
    <row r="139" spans="1:35" ht="21.75" customHeight="1">
      <c r="A139" s="725"/>
      <c r="B139" s="1850" t="s">
        <v>1458</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1457</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42" priority="10" stopIfTrue="1" operator="equal">
      <formula>25</formula>
    </cfRule>
  </conditionalFormatting>
  <conditionalFormatting sqref="C8:C9">
    <cfRule type="cellIs" dxfId="141" priority="9" stopIfTrue="1" operator="equal">
      <formula>15</formula>
    </cfRule>
  </conditionalFormatting>
  <conditionalFormatting sqref="C14:C16">
    <cfRule type="cellIs" dxfId="140" priority="8" stopIfTrue="1" operator="equal">
      <formula>30</formula>
    </cfRule>
  </conditionalFormatting>
  <conditionalFormatting sqref="D5:D7">
    <cfRule type="cellIs" dxfId="139" priority="7" stopIfTrue="1" operator="equal">
      <formula>25</formula>
    </cfRule>
  </conditionalFormatting>
  <conditionalFormatting sqref="D8:D9">
    <cfRule type="cellIs" dxfId="138" priority="6" stopIfTrue="1" operator="equal">
      <formula>15</formula>
    </cfRule>
  </conditionalFormatting>
  <conditionalFormatting sqref="C10:D13">
    <cfRule type="cellIs" dxfId="137" priority="5" stopIfTrue="1" operator="equal">
      <formula>15</formula>
    </cfRule>
  </conditionalFormatting>
  <conditionalFormatting sqref="D14:D16">
    <cfRule type="cellIs" dxfId="136" priority="4"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5" zoomScaleNormal="70" zoomScaleSheetLayoutView="85" workbookViewId="0">
      <selection activeCell="L13" sqref="L13"/>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1658</v>
      </c>
      <c r="B1" s="1957" t="s">
        <v>1808</v>
      </c>
      <c r="C1" s="1224" t="s">
        <v>1660</v>
      </c>
      <c r="D1" s="1225"/>
      <c r="E1" s="3433" t="s">
        <v>3547</v>
      </c>
      <c r="F1" s="1879" t="s">
        <v>3661</v>
      </c>
      <c r="G1" s="1235" t="s">
        <v>1765</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1460</v>
      </c>
      <c r="B2" s="1164">
        <f>IF(E1="项目模式",IF(C2="——",ROUND(C50*D3/10000,0),ROUND(C50*D3/10000,0)-D2),IF(E1="单套模式",IF(C2="——",ROUND(C50*D3/10000,4),ROUND(C50*D3/10000,4)-D2)))</f>
        <v>13</v>
      </c>
      <c r="C2" s="1881" t="s">
        <v>43</v>
      </c>
      <c r="D2" s="1115" t="e">
        <f ca="1">IF(E1="项目模式",SUMIF(INDIRECT("'"&amp;F2&amp;"'"&amp;"!A:A"),"承租人权益价值",INDIRECT("'"&amp;F2&amp;"'"&amp;"!c:c")),SUMIF(INDIRECT("'"&amp;F2&amp;"'"&amp;"!A:A"),"承租人权益价值（单套）",INDIRECT("'"&amp;F2&amp;"'"&amp;"!c:c")))</f>
        <v>#REF!</v>
      </c>
      <c r="E2" s="1882" t="s">
        <v>1461</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1462</v>
      </c>
      <c r="B3" s="558">
        <f>IF(C2="——",C50,ROUND(B2*10000/D3,0))</f>
        <v>7</v>
      </c>
      <c r="C3" s="354" t="s">
        <v>1766</v>
      </c>
      <c r="D3" s="353">
        <f>IF(D1="",'数据-汇总表'!E3,SUMIF('数据-汇总表'!$C19:$C33,D1,'数据-汇总表'!$E19:$E33))</f>
        <v>18448.600000000002</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1767</v>
      </c>
      <c r="B4" s="356"/>
      <c r="C4" s="3916" t="s">
        <v>1768</v>
      </c>
      <c r="D4" s="3917"/>
      <c r="E4" s="3918" t="s">
        <v>1769</v>
      </c>
      <c r="F4" s="3919"/>
      <c r="G4" s="3916" t="s">
        <v>1770</v>
      </c>
      <c r="H4" s="3917"/>
      <c r="I4" s="3916" t="s">
        <v>1771</v>
      </c>
      <c r="J4" s="3917"/>
      <c r="K4" s="559" t="s">
        <v>1772</v>
      </c>
      <c r="L4" s="2715"/>
      <c r="M4" s="2716"/>
      <c r="N4" s="2716"/>
      <c r="O4" s="2716"/>
      <c r="P4" s="3950" t="s">
        <v>1773</v>
      </c>
      <c r="Q4" s="3951"/>
      <c r="R4" s="3954" t="s">
        <v>1769</v>
      </c>
      <c r="S4" s="3955"/>
      <c r="T4" s="3954" t="s">
        <v>1770</v>
      </c>
      <c r="U4" s="3955"/>
      <c r="V4" s="3956" t="s">
        <v>1771</v>
      </c>
      <c r="W4" s="3956"/>
      <c r="X4" s="1958"/>
      <c r="Y4" s="3954" t="s">
        <v>1773</v>
      </c>
      <c r="Z4" s="3955"/>
      <c r="AA4" s="3959" t="s">
        <v>1769</v>
      </c>
      <c r="AB4" s="3959" t="s">
        <v>1770</v>
      </c>
      <c r="AC4" s="3947" t="s">
        <v>1771</v>
      </c>
    </row>
    <row r="5" spans="1:29" ht="15">
      <c r="A5" s="358"/>
      <c r="B5" s="359"/>
      <c r="C5" s="3935" t="s">
        <v>1671</v>
      </c>
      <c r="D5" s="3936"/>
      <c r="E5" s="3960" t="s">
        <v>3662</v>
      </c>
      <c r="F5" s="3943"/>
      <c r="G5" s="3957" t="s">
        <v>3663</v>
      </c>
      <c r="H5" s="3936"/>
      <c r="I5" s="3957" t="s">
        <v>3664</v>
      </c>
      <c r="J5" s="3936"/>
      <c r="K5" s="559"/>
      <c r="L5" s="2715"/>
      <c r="M5" s="2716"/>
      <c r="N5" s="2716"/>
      <c r="O5" s="2716"/>
      <c r="P5" s="3952"/>
      <c r="Q5" s="3923"/>
      <c r="R5" s="3928"/>
      <c r="S5" s="3929"/>
      <c r="T5" s="3928"/>
      <c r="U5" s="3929"/>
      <c r="V5" s="3932"/>
      <c r="W5" s="3932"/>
      <c r="X5" s="1355"/>
      <c r="Y5" s="3928"/>
      <c r="Z5" s="3929"/>
      <c r="AA5" s="3914"/>
      <c r="AB5" s="3914"/>
      <c r="AC5" s="3948"/>
    </row>
    <row r="6" spans="1:29" ht="15.75" thickBot="1">
      <c r="A6" s="360"/>
      <c r="B6" s="361"/>
      <c r="C6" s="3933" t="s">
        <v>1675</v>
      </c>
      <c r="D6" s="3934"/>
      <c r="E6" s="3940" t="s">
        <v>1675</v>
      </c>
      <c r="F6" s="3941"/>
      <c r="G6" s="3933" t="s">
        <v>1675</v>
      </c>
      <c r="H6" s="3934"/>
      <c r="I6" s="3933" t="s">
        <v>1675</v>
      </c>
      <c r="J6" s="3934"/>
      <c r="K6" s="559" t="s">
        <v>1676</v>
      </c>
      <c r="L6" s="2715"/>
      <c r="M6" s="2716"/>
      <c r="N6" s="2716"/>
      <c r="O6" s="2716"/>
      <c r="P6" s="3953"/>
      <c r="Q6" s="3925"/>
      <c r="R6" s="3928"/>
      <c r="S6" s="3929"/>
      <c r="T6" s="3930"/>
      <c r="U6" s="3931"/>
      <c r="V6" s="3932"/>
      <c r="W6" s="3932"/>
      <c r="X6" s="1355"/>
      <c r="Y6" s="3930"/>
      <c r="Z6" s="3931"/>
      <c r="AA6" s="3915"/>
      <c r="AB6" s="3915"/>
      <c r="AC6" s="3949"/>
    </row>
    <row r="7" spans="1:29" s="108" customFormat="1" ht="15.75" thickBot="1">
      <c r="A7" s="362" t="s">
        <v>1677</v>
      </c>
      <c r="B7" s="363"/>
      <c r="C7" s="364">
        <f>'数据-取费表'!B2</f>
        <v>45400</v>
      </c>
      <c r="D7" s="365">
        <v>100</v>
      </c>
      <c r="E7" s="366">
        <f>C7</f>
        <v>45400</v>
      </c>
      <c r="F7" s="367">
        <f>SUMIF(59:59,YEAR(E7)&amp;"-"&amp;MONTH(E7),60:60)</f>
        <v>100</v>
      </c>
      <c r="G7" s="366">
        <f>C7</f>
        <v>45400</v>
      </c>
      <c r="H7" s="365">
        <f>SUMIF(59:59,YEAR(G7)&amp;"-"&amp;MONTH(G7),60:60)</f>
        <v>100</v>
      </c>
      <c r="I7" s="366">
        <f>C7</f>
        <v>45400</v>
      </c>
      <c r="J7" s="365">
        <f>SUMIF(59:59,YEAR(I7)&amp;"-"&amp;MONTH(I7),60:60)</f>
        <v>100</v>
      </c>
      <c r="K7" s="560"/>
      <c r="L7" s="2717"/>
      <c r="M7" s="2718"/>
      <c r="N7" s="2718"/>
      <c r="O7" s="2718"/>
      <c r="P7" s="3958" t="s">
        <v>1678</v>
      </c>
      <c r="Q7" s="3939"/>
      <c r="R7" s="701" t="s">
        <v>14</v>
      </c>
      <c r="S7" s="702">
        <f t="shared" ref="S7:S15" si="0">F7</f>
        <v>100</v>
      </c>
      <c r="T7" s="701" t="s">
        <v>14</v>
      </c>
      <c r="U7" s="702">
        <f t="shared" ref="U7:U15" si="1">H7</f>
        <v>100</v>
      </c>
      <c r="V7" s="701" t="s">
        <v>14</v>
      </c>
      <c r="W7" s="702">
        <f t="shared" ref="W7:W15" si="2">J7</f>
        <v>100</v>
      </c>
      <c r="X7" s="703"/>
      <c r="Y7" s="3937" t="s">
        <v>1678</v>
      </c>
      <c r="Z7" s="3938"/>
      <c r="AA7" s="704">
        <f>D7/F7</f>
        <v>1</v>
      </c>
      <c r="AB7" s="704">
        <f>D7/H7</f>
        <v>1</v>
      </c>
      <c r="AC7" s="1959">
        <f>D7/J7</f>
        <v>1</v>
      </c>
    </row>
    <row r="8" spans="1:29" s="108" customFormat="1" ht="15.75" thickBot="1">
      <c r="A8" s="362" t="s">
        <v>1679</v>
      </c>
      <c r="B8" s="363"/>
      <c r="C8" s="368" t="s">
        <v>3665</v>
      </c>
      <c r="D8" s="365">
        <v>100</v>
      </c>
      <c r="E8" s="368" t="s">
        <v>3666</v>
      </c>
      <c r="F8" s="367">
        <f>SUMIF(62:62,E8,63:63)-SUMIF(62:62,C8,63:63)+100</f>
        <v>103</v>
      </c>
      <c r="G8" s="368" t="s">
        <v>3666</v>
      </c>
      <c r="H8" s="365">
        <f>SUMIF(62:62,G8,63:63)-SUMIF(62:62,C8,63:63)+100</f>
        <v>103</v>
      </c>
      <c r="I8" s="368" t="s">
        <v>3666</v>
      </c>
      <c r="J8" s="365">
        <f>SUMIF(62:62,I8,63:63)-SUMIF(62:62,C8,63:63)+100</f>
        <v>103</v>
      </c>
      <c r="K8" s="560"/>
      <c r="L8" s="2717"/>
      <c r="M8" s="2718"/>
      <c r="N8" s="2718"/>
      <c r="O8" s="2718"/>
      <c r="P8" s="3958" t="s">
        <v>1681</v>
      </c>
      <c r="Q8" s="3938"/>
      <c r="R8" s="701" t="s">
        <v>14</v>
      </c>
      <c r="S8" s="702">
        <f t="shared" si="0"/>
        <v>103</v>
      </c>
      <c r="T8" s="701" t="s">
        <v>14</v>
      </c>
      <c r="U8" s="702">
        <f t="shared" si="1"/>
        <v>103</v>
      </c>
      <c r="V8" s="701" t="s">
        <v>14</v>
      </c>
      <c r="W8" s="702">
        <f t="shared" si="2"/>
        <v>103</v>
      </c>
      <c r="X8" s="703"/>
      <c r="Y8" s="3937" t="s">
        <v>1681</v>
      </c>
      <c r="Z8" s="3938"/>
      <c r="AA8" s="704">
        <f t="shared" ref="AA8:AA47" si="3">D8/F8</f>
        <v>0.970873786407767</v>
      </c>
      <c r="AB8" s="704">
        <f t="shared" ref="AB8:AB47" si="4">D8/H8</f>
        <v>0.970873786407767</v>
      </c>
      <c r="AC8" s="1959">
        <f t="shared" ref="AC8:AC47" si="5">D8/J8</f>
        <v>0.970873786407767</v>
      </c>
    </row>
    <row r="9" spans="1:29" s="108" customFormat="1">
      <c r="A9" s="369" t="s">
        <v>1682</v>
      </c>
      <c r="B9" s="63" t="s">
        <v>1683</v>
      </c>
      <c r="C9" s="3584" t="s">
        <v>3668</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912"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1959">
        <f t="shared" si="5"/>
        <v>1</v>
      </c>
    </row>
    <row r="10" spans="1:29" s="378" customFormat="1" ht="27">
      <c r="A10" s="374"/>
      <c r="B10" s="375" t="s">
        <v>1686</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912"/>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1959">
        <f t="shared" si="5"/>
        <v>1</v>
      </c>
    </row>
    <row r="11" spans="1:29" ht="15">
      <c r="A11" s="379"/>
      <c r="B11" s="375" t="s">
        <v>1687</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912"/>
      <c r="Q11" s="1343" t="str">
        <f t="shared" si="6"/>
        <v>容积率</v>
      </c>
      <c r="R11" s="701" t="s">
        <v>14</v>
      </c>
      <c r="S11" s="702">
        <f t="shared" si="0"/>
        <v>100</v>
      </c>
      <c r="T11" s="701" t="s">
        <v>14</v>
      </c>
      <c r="U11" s="702">
        <f t="shared" si="1"/>
        <v>100</v>
      </c>
      <c r="V11" s="701" t="s">
        <v>14</v>
      </c>
      <c r="W11" s="702">
        <f t="shared" si="2"/>
        <v>100</v>
      </c>
      <c r="X11" s="703"/>
      <c r="Y11" s="3757"/>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912"/>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912"/>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912"/>
      <c r="Q14" s="1343">
        <f t="shared" si="6"/>
        <v>111</v>
      </c>
      <c r="R14" s="701" t="s">
        <v>14</v>
      </c>
      <c r="S14" s="702">
        <f t="shared" si="0"/>
        <v>100</v>
      </c>
      <c r="T14" s="701" t="s">
        <v>14</v>
      </c>
      <c r="U14" s="702">
        <f t="shared" si="1"/>
        <v>100</v>
      </c>
      <c r="V14" s="701" t="s">
        <v>14</v>
      </c>
      <c r="W14" s="702">
        <f t="shared" si="2"/>
        <v>100</v>
      </c>
      <c r="X14" s="703"/>
      <c r="Y14" s="3757"/>
      <c r="Z14" s="52">
        <f t="shared" si="7"/>
        <v>111</v>
      </c>
      <c r="AA14" s="704">
        <f t="shared" si="3"/>
        <v>1</v>
      </c>
      <c r="AB14" s="704">
        <f t="shared" si="4"/>
        <v>1</v>
      </c>
      <c r="AC14" s="1959">
        <f t="shared" si="5"/>
        <v>1</v>
      </c>
    </row>
    <row r="15" spans="1:29" ht="71.25">
      <c r="A15" s="391" t="s">
        <v>1688</v>
      </c>
      <c r="B15" s="577" t="s">
        <v>1809</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2"/>
      <c r="M15" s="2716"/>
      <c r="N15" s="2716"/>
      <c r="O15" s="2716"/>
      <c r="P15" s="3910" t="s">
        <v>1689</v>
      </c>
      <c r="Q15" s="1352" t="str">
        <f t="shared" si="6"/>
        <v>办公集聚程度</v>
      </c>
      <c r="R15" s="705" t="s">
        <v>14</v>
      </c>
      <c r="S15" s="706">
        <f t="shared" si="0"/>
        <v>100</v>
      </c>
      <c r="T15" s="705" t="s">
        <v>14</v>
      </c>
      <c r="U15" s="706">
        <f t="shared" si="1"/>
        <v>100</v>
      </c>
      <c r="V15" s="705" t="s">
        <v>14</v>
      </c>
      <c r="W15" s="706">
        <f t="shared" si="2"/>
        <v>100</v>
      </c>
      <c r="X15" s="1355"/>
      <c r="Y15" s="3903" t="s">
        <v>1689</v>
      </c>
      <c r="Z15" s="1356" t="str">
        <f t="shared" si="7"/>
        <v>办公集聚程度</v>
      </c>
      <c r="AA15" s="1353">
        <f t="shared" si="3"/>
        <v>1</v>
      </c>
      <c r="AB15" s="1353">
        <f t="shared" si="4"/>
        <v>1</v>
      </c>
      <c r="AC15" s="1962">
        <f t="shared" si="5"/>
        <v>1</v>
      </c>
    </row>
    <row r="16" spans="1:29" ht="15">
      <c r="A16" s="379"/>
      <c r="B16" s="578"/>
      <c r="C16" s="1904" t="s">
        <v>3551</v>
      </c>
      <c r="D16" s="399"/>
      <c r="E16" s="1904" t="s">
        <v>3551</v>
      </c>
      <c r="F16" s="399"/>
      <c r="G16" s="1904" t="s">
        <v>3551</v>
      </c>
      <c r="H16" s="401"/>
      <c r="I16" s="1904" t="s">
        <v>3551</v>
      </c>
      <c r="J16" s="399"/>
      <c r="K16" s="564"/>
      <c r="L16" s="2722"/>
      <c r="M16" s="2716"/>
      <c r="N16" s="2716"/>
      <c r="O16" s="2716"/>
      <c r="P16" s="3911"/>
      <c r="Q16" s="1352"/>
      <c r="R16" s="705"/>
      <c r="S16" s="706"/>
      <c r="T16" s="705"/>
      <c r="U16" s="706"/>
      <c r="V16" s="705"/>
      <c r="W16" s="706"/>
      <c r="X16" s="1355"/>
      <c r="Y16" s="3904"/>
      <c r="Z16" s="1356"/>
      <c r="AA16" s="1353">
        <v>1</v>
      </c>
      <c r="AB16" s="1353">
        <v>1</v>
      </c>
      <c r="AC16" s="1962">
        <v>1</v>
      </c>
    </row>
    <row r="17" spans="1:29" ht="71.25">
      <c r="A17" s="379"/>
      <c r="B17" s="579" t="s">
        <v>1257</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2"/>
      <c r="M17" s="2716"/>
      <c r="N17" s="2716"/>
      <c r="O17" s="2716"/>
      <c r="P17" s="3911"/>
      <c r="Q17" s="1352" t="str">
        <f>B17</f>
        <v>交通便捷度</v>
      </c>
      <c r="R17" s="705" t="s">
        <v>14</v>
      </c>
      <c r="S17" s="706">
        <f>F17</f>
        <v>100</v>
      </c>
      <c r="T17" s="705" t="s">
        <v>14</v>
      </c>
      <c r="U17" s="706">
        <f>H17</f>
        <v>100</v>
      </c>
      <c r="V17" s="705" t="s">
        <v>14</v>
      </c>
      <c r="W17" s="706">
        <f>J17</f>
        <v>100</v>
      </c>
      <c r="X17" s="1355"/>
      <c r="Y17" s="3904"/>
      <c r="Z17" s="1356" t="str">
        <f>Q17</f>
        <v>交通便捷度</v>
      </c>
      <c r="AA17" s="1353">
        <f t="shared" si="3"/>
        <v>1</v>
      </c>
      <c r="AB17" s="1353">
        <f t="shared" si="4"/>
        <v>1</v>
      </c>
      <c r="AC17" s="1962">
        <f t="shared" si="5"/>
        <v>1</v>
      </c>
    </row>
    <row r="18" spans="1:29" ht="15">
      <c r="A18" s="379"/>
      <c r="B18" s="580"/>
      <c r="C18" s="1964" t="s">
        <v>3552</v>
      </c>
      <c r="D18" s="401"/>
      <c r="E18" s="1964" t="s">
        <v>3552</v>
      </c>
      <c r="F18" s="401"/>
      <c r="G18" s="1964" t="s">
        <v>3552</v>
      </c>
      <c r="H18" s="399"/>
      <c r="I18" s="1964" t="s">
        <v>3552</v>
      </c>
      <c r="J18" s="399"/>
      <c r="K18" s="564"/>
      <c r="L18" s="2722"/>
      <c r="M18" s="2716"/>
      <c r="N18" s="2716"/>
      <c r="O18" s="2716"/>
      <c r="P18" s="3911"/>
      <c r="Q18" s="1352"/>
      <c r="R18" s="705"/>
      <c r="S18" s="706"/>
      <c r="T18" s="705"/>
      <c r="U18" s="706"/>
      <c r="V18" s="705"/>
      <c r="W18" s="706"/>
      <c r="X18" s="1355"/>
      <c r="Y18" s="3904"/>
      <c r="Z18" s="1356"/>
      <c r="AA18" s="1353">
        <v>1</v>
      </c>
      <c r="AB18" s="1353">
        <v>1</v>
      </c>
      <c r="AC18" s="1962">
        <v>1</v>
      </c>
    </row>
    <row r="19" spans="1:29" ht="42.75">
      <c r="A19" s="379"/>
      <c r="B19" s="579" t="s">
        <v>1810</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2"/>
      <c r="M19" s="2716"/>
      <c r="N19" s="2716"/>
      <c r="O19" s="2716"/>
      <c r="P19" s="3911"/>
      <c r="Q19" s="1352" t="str">
        <f>B19</f>
        <v>公共配套设施</v>
      </c>
      <c r="R19" s="705" t="s">
        <v>14</v>
      </c>
      <c r="S19" s="706">
        <f>F19</f>
        <v>100</v>
      </c>
      <c r="T19" s="705" t="s">
        <v>14</v>
      </c>
      <c r="U19" s="706">
        <f>H19</f>
        <v>100</v>
      </c>
      <c r="V19" s="705" t="s">
        <v>14</v>
      </c>
      <c r="W19" s="706">
        <f>J19</f>
        <v>100</v>
      </c>
      <c r="X19" s="1355"/>
      <c r="Y19" s="3904"/>
      <c r="Z19" s="1356" t="str">
        <f>Q19</f>
        <v>公共配套设施</v>
      </c>
      <c r="AA19" s="1353">
        <f t="shared" si="3"/>
        <v>1</v>
      </c>
      <c r="AB19" s="1353">
        <f t="shared" si="4"/>
        <v>1</v>
      </c>
      <c r="AC19" s="1962">
        <f t="shared" si="5"/>
        <v>1</v>
      </c>
    </row>
    <row r="20" spans="1:29" ht="15">
      <c r="A20" s="379"/>
      <c r="B20" s="580"/>
      <c r="C20" s="1904" t="s">
        <v>3552</v>
      </c>
      <c r="D20" s="399"/>
      <c r="E20" s="1904" t="s">
        <v>3552</v>
      </c>
      <c r="F20" s="399"/>
      <c r="G20" s="1904" t="s">
        <v>3552</v>
      </c>
      <c r="H20" s="399"/>
      <c r="I20" s="1904" t="s">
        <v>3552</v>
      </c>
      <c r="J20" s="399"/>
      <c r="K20" s="564"/>
      <c r="L20" s="2722"/>
      <c r="M20" s="2716"/>
      <c r="N20" s="2716"/>
      <c r="O20" s="2716"/>
      <c r="P20" s="3911"/>
      <c r="Q20" s="1352"/>
      <c r="R20" s="705"/>
      <c r="S20" s="706"/>
      <c r="T20" s="705"/>
      <c r="U20" s="706"/>
      <c r="V20" s="705"/>
      <c r="W20" s="706"/>
      <c r="X20" s="1355"/>
      <c r="Y20" s="3904"/>
      <c r="Z20" s="1356"/>
      <c r="AA20" s="1353">
        <v>1</v>
      </c>
      <c r="AB20" s="1353">
        <v>1</v>
      </c>
      <c r="AC20" s="1962">
        <v>1</v>
      </c>
    </row>
    <row r="21" spans="1:29" ht="28.5">
      <c r="A21" s="379"/>
      <c r="B21" s="581" t="s">
        <v>1811</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2"/>
      <c r="M21" s="2716"/>
      <c r="N21" s="2716"/>
      <c r="O21" s="2716"/>
      <c r="P21" s="3911"/>
      <c r="Q21" s="1352" t="str">
        <f>B21</f>
        <v>基础设施水平</v>
      </c>
      <c r="R21" s="705" t="s">
        <v>14</v>
      </c>
      <c r="S21" s="706">
        <f>F21</f>
        <v>100</v>
      </c>
      <c r="T21" s="705" t="s">
        <v>14</v>
      </c>
      <c r="U21" s="706">
        <f>H21</f>
        <v>100</v>
      </c>
      <c r="V21" s="705" t="s">
        <v>14</v>
      </c>
      <c r="W21" s="706">
        <f>J21</f>
        <v>100</v>
      </c>
      <c r="X21" s="1355"/>
      <c r="Y21" s="3904"/>
      <c r="Z21" s="1356" t="str">
        <f>Q21</f>
        <v>基础设施水平</v>
      </c>
      <c r="AA21" s="1353">
        <f t="shared" ref="AA21" si="8">D21/F21</f>
        <v>1</v>
      </c>
      <c r="AB21" s="1353">
        <f t="shared" ref="AB21" si="9">D21/H21</f>
        <v>1</v>
      </c>
      <c r="AC21" s="1962">
        <f t="shared" ref="AC21" si="10">D21/J21</f>
        <v>1</v>
      </c>
    </row>
    <row r="22" spans="1:29" ht="15">
      <c r="A22" s="379"/>
      <c r="B22" s="581"/>
      <c r="C22" s="1964" t="s">
        <v>3669</v>
      </c>
      <c r="D22" s="399"/>
      <c r="E22" s="1964" t="s">
        <v>3669</v>
      </c>
      <c r="F22" s="399"/>
      <c r="G22" s="1964" t="s">
        <v>3669</v>
      </c>
      <c r="H22" s="399"/>
      <c r="I22" s="1964" t="s">
        <v>3669</v>
      </c>
      <c r="J22" s="399"/>
      <c r="K22" s="1130"/>
      <c r="L22" s="2722"/>
      <c r="M22" s="2716"/>
      <c r="N22" s="2716"/>
      <c r="O22" s="2716"/>
      <c r="P22" s="3911"/>
      <c r="Q22" s="1352"/>
      <c r="R22" s="705"/>
      <c r="S22" s="706"/>
      <c r="T22" s="705"/>
      <c r="U22" s="706"/>
      <c r="V22" s="705"/>
      <c r="W22" s="706"/>
      <c r="X22" s="1355"/>
      <c r="Y22" s="3904"/>
      <c r="Z22" s="1356"/>
      <c r="AA22" s="1353">
        <v>1</v>
      </c>
      <c r="AB22" s="1353">
        <v>1</v>
      </c>
      <c r="AC22" s="1962">
        <v>1</v>
      </c>
    </row>
    <row r="23" spans="1:29" ht="42.75">
      <c r="A23" s="379"/>
      <c r="B23" s="579" t="s">
        <v>1812</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2"/>
      <c r="M23" s="2716"/>
      <c r="N23" s="2716"/>
      <c r="O23" s="2716"/>
      <c r="P23" s="3911"/>
      <c r="Q23" s="1352" t="str">
        <f>B23</f>
        <v>环境质量</v>
      </c>
      <c r="R23" s="705" t="s">
        <v>14</v>
      </c>
      <c r="S23" s="706">
        <f>F23</f>
        <v>100</v>
      </c>
      <c r="T23" s="705" t="s">
        <v>14</v>
      </c>
      <c r="U23" s="706">
        <f>H23</f>
        <v>100</v>
      </c>
      <c r="V23" s="705" t="s">
        <v>14</v>
      </c>
      <c r="W23" s="706">
        <f>J23</f>
        <v>100</v>
      </c>
      <c r="X23" s="1355"/>
      <c r="Y23" s="3904"/>
      <c r="Z23" s="1356" t="str">
        <f>Q23</f>
        <v>环境质量</v>
      </c>
      <c r="AA23" s="1353">
        <f t="shared" si="3"/>
        <v>1</v>
      </c>
      <c r="AB23" s="1353">
        <f t="shared" si="4"/>
        <v>1</v>
      </c>
      <c r="AC23" s="1962">
        <f t="shared" si="5"/>
        <v>1</v>
      </c>
    </row>
    <row r="24" spans="1:29" ht="15">
      <c r="A24" s="379"/>
      <c r="B24" s="581"/>
      <c r="C24" s="1904" t="s">
        <v>3552</v>
      </c>
      <c r="D24" s="399"/>
      <c r="E24" s="1904" t="s">
        <v>3552</v>
      </c>
      <c r="F24" s="399"/>
      <c r="G24" s="1904" t="s">
        <v>3552</v>
      </c>
      <c r="H24" s="399"/>
      <c r="I24" s="1904" t="s">
        <v>3552</v>
      </c>
      <c r="J24" s="399"/>
      <c r="K24" s="564"/>
      <c r="L24" s="2722"/>
      <c r="M24" s="2716"/>
      <c r="N24" s="2716"/>
      <c r="O24" s="2716"/>
      <c r="P24" s="3911"/>
      <c r="Q24" s="1352"/>
      <c r="R24" s="705"/>
      <c r="S24" s="706"/>
      <c r="T24" s="705"/>
      <c r="U24" s="706"/>
      <c r="V24" s="705"/>
      <c r="W24" s="706"/>
      <c r="X24" s="1355"/>
      <c r="Y24" s="3904"/>
      <c r="Z24" s="1356"/>
      <c r="AA24" s="1353">
        <v>1</v>
      </c>
      <c r="AB24" s="1353">
        <v>1</v>
      </c>
      <c r="AC24" s="1962">
        <v>1</v>
      </c>
    </row>
    <row r="25" spans="1:29" ht="27">
      <c r="A25" s="358"/>
      <c r="B25" s="579" t="s">
        <v>1813</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911"/>
      <c r="Q25" s="1352" t="str">
        <f>B25</f>
        <v>毗邻道路的类型与等级</v>
      </c>
      <c r="R25" s="705" t="s">
        <v>14</v>
      </c>
      <c r="S25" s="706">
        <f>F25</f>
        <v>100</v>
      </c>
      <c r="T25" s="705" t="s">
        <v>14</v>
      </c>
      <c r="U25" s="706">
        <f>H25</f>
        <v>100</v>
      </c>
      <c r="V25" s="705" t="s">
        <v>14</v>
      </c>
      <c r="W25" s="706">
        <f>J25</f>
        <v>100</v>
      </c>
      <c r="X25" s="1355"/>
      <c r="Y25" s="3904"/>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911"/>
      <c r="Q26" s="1352"/>
      <c r="R26" s="705"/>
      <c r="S26" s="706"/>
      <c r="T26" s="705"/>
      <c r="U26" s="706"/>
      <c r="V26" s="705"/>
      <c r="W26" s="706"/>
      <c r="X26" s="1355"/>
      <c r="Y26" s="3904"/>
      <c r="Z26" s="1356"/>
      <c r="AA26" s="1353">
        <v>1</v>
      </c>
      <c r="AB26" s="1353">
        <v>1</v>
      </c>
      <c r="AC26" s="1962">
        <v>1</v>
      </c>
    </row>
    <row r="27" spans="1:29" ht="15">
      <c r="A27" s="379"/>
      <c r="B27" s="580" t="s">
        <v>1781</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911"/>
      <c r="Q27" s="1352" t="str">
        <f t="shared" ref="Q27:Q47" si="11">B27</f>
        <v>楼层</v>
      </c>
      <c r="R27" s="705" t="s">
        <v>14</v>
      </c>
      <c r="S27" s="706">
        <f>F27</f>
        <v>100</v>
      </c>
      <c r="T27" s="705" t="s">
        <v>14</v>
      </c>
      <c r="U27" s="706">
        <f>H27</f>
        <v>100</v>
      </c>
      <c r="V27" s="705" t="s">
        <v>14</v>
      </c>
      <c r="W27" s="706">
        <f>J27</f>
        <v>100</v>
      </c>
      <c r="X27" s="1355"/>
      <c r="Y27" s="3904"/>
      <c r="Z27" s="1356" t="str">
        <f>Q27</f>
        <v>楼层</v>
      </c>
      <c r="AA27" s="1353">
        <f t="shared" si="3"/>
        <v>1</v>
      </c>
      <c r="AB27" s="1353">
        <f t="shared" si="4"/>
        <v>1</v>
      </c>
      <c r="AC27" s="1962">
        <f t="shared" si="5"/>
        <v>1</v>
      </c>
    </row>
    <row r="28" spans="1:29" s="108" customFormat="1" ht="15">
      <c r="A28" s="382"/>
      <c r="B28" s="579" t="s">
        <v>1814</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911"/>
      <c r="Q28" s="1343" t="str">
        <f t="shared" si="11"/>
        <v>朝向</v>
      </c>
      <c r="R28" s="701" t="s">
        <v>14</v>
      </c>
      <c r="S28" s="702">
        <f>F28</f>
        <v>100</v>
      </c>
      <c r="T28" s="701" t="s">
        <v>14</v>
      </c>
      <c r="U28" s="702">
        <f>H28</f>
        <v>100</v>
      </c>
      <c r="V28" s="701" t="s">
        <v>14</v>
      </c>
      <c r="W28" s="702">
        <f>J28</f>
        <v>100</v>
      </c>
      <c r="X28" s="703"/>
      <c r="Y28" s="3904"/>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911"/>
      <c r="Q29" s="1352">
        <f t="shared" si="11"/>
        <v>111</v>
      </c>
      <c r="R29" s="705" t="s">
        <v>14</v>
      </c>
      <c r="S29" s="706">
        <f t="shared" ref="S29:S47" si="12">F29</f>
        <v>100</v>
      </c>
      <c r="T29" s="705" t="s">
        <v>14</v>
      </c>
      <c r="U29" s="706">
        <f t="shared" ref="U29:U47" si="13">H29</f>
        <v>100</v>
      </c>
      <c r="V29" s="705" t="s">
        <v>14</v>
      </c>
      <c r="W29" s="706">
        <f t="shared" ref="W29:W47" si="14">J29</f>
        <v>100</v>
      </c>
      <c r="X29" s="1355"/>
      <c r="Y29" s="3904"/>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911"/>
      <c r="Q30" s="1352">
        <f t="shared" si="11"/>
        <v>111</v>
      </c>
      <c r="R30" s="705" t="s">
        <v>14</v>
      </c>
      <c r="S30" s="706">
        <f t="shared" si="12"/>
        <v>100</v>
      </c>
      <c r="T30" s="705" t="s">
        <v>14</v>
      </c>
      <c r="U30" s="706">
        <f t="shared" si="13"/>
        <v>100</v>
      </c>
      <c r="V30" s="705" t="s">
        <v>14</v>
      </c>
      <c r="W30" s="706">
        <f t="shared" si="14"/>
        <v>100</v>
      </c>
      <c r="X30" s="1355"/>
      <c r="Y30" s="3904"/>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911"/>
      <c r="Q31" s="1352">
        <f t="shared" si="11"/>
        <v>111</v>
      </c>
      <c r="R31" s="705" t="s">
        <v>14</v>
      </c>
      <c r="S31" s="706">
        <f t="shared" si="12"/>
        <v>100</v>
      </c>
      <c r="T31" s="705" t="s">
        <v>14</v>
      </c>
      <c r="U31" s="706">
        <f t="shared" si="13"/>
        <v>100</v>
      </c>
      <c r="V31" s="705" t="s">
        <v>14</v>
      </c>
      <c r="W31" s="706">
        <f t="shared" si="14"/>
        <v>100</v>
      </c>
      <c r="X31" s="1355"/>
      <c r="Y31" s="3904"/>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911"/>
      <c r="Q32" s="1352">
        <f t="shared" si="11"/>
        <v>111</v>
      </c>
      <c r="R32" s="705" t="s">
        <v>14</v>
      </c>
      <c r="S32" s="706">
        <f t="shared" si="12"/>
        <v>100</v>
      </c>
      <c r="T32" s="705" t="s">
        <v>14</v>
      </c>
      <c r="U32" s="706">
        <f t="shared" si="13"/>
        <v>100</v>
      </c>
      <c r="V32" s="705" t="s">
        <v>14</v>
      </c>
      <c r="W32" s="706">
        <f t="shared" si="14"/>
        <v>100</v>
      </c>
      <c r="X32" s="1355"/>
      <c r="Y32" s="3904"/>
      <c r="Z32" s="1356">
        <f t="shared" si="15"/>
        <v>111</v>
      </c>
      <c r="AA32" s="1353">
        <f t="shared" si="3"/>
        <v>1</v>
      </c>
      <c r="AB32" s="1353">
        <f t="shared" si="4"/>
        <v>1</v>
      </c>
      <c r="AC32" s="1962">
        <f t="shared" si="5"/>
        <v>1</v>
      </c>
    </row>
    <row r="33" spans="1:29" ht="15">
      <c r="A33" s="391" t="s">
        <v>1692</v>
      </c>
      <c r="B33" s="63" t="s">
        <v>1815</v>
      </c>
      <c r="C33" s="1967" t="s">
        <v>3672</v>
      </c>
      <c r="D33" s="418">
        <v>100</v>
      </c>
      <c r="E33" s="1967" t="s">
        <v>3670</v>
      </c>
      <c r="F33" s="412">
        <f>SUMIF(101:101,E33,102:102)-SUMIF(101:101,C33,102:102)+100</f>
        <v>105</v>
      </c>
      <c r="G33" s="1967" t="s">
        <v>3670</v>
      </c>
      <c r="H33" s="386">
        <f>SUMIF(101:101,G33,102:102)-SUMIF(101:101,C33,102:102)+100</f>
        <v>105</v>
      </c>
      <c r="I33" s="1967" t="s">
        <v>3670</v>
      </c>
      <c r="J33" s="418">
        <f>SUMIF(101:101,I33,102:102)-SUMIF(101:101,C33,102:102)+100</f>
        <v>105</v>
      </c>
      <c r="K33" s="561">
        <v>5</v>
      </c>
      <c r="L33" s="2722"/>
      <c r="M33" s="2716"/>
      <c r="N33" s="2716"/>
      <c r="O33" s="2716"/>
      <c r="P33" s="3905" t="s">
        <v>1694</v>
      </c>
      <c r="Q33" s="1352" t="str">
        <f t="shared" si="11"/>
        <v>建筑类型</v>
      </c>
      <c r="R33" s="705" t="s">
        <v>14</v>
      </c>
      <c r="S33" s="706">
        <f t="shared" si="12"/>
        <v>105</v>
      </c>
      <c r="T33" s="705" t="s">
        <v>14</v>
      </c>
      <c r="U33" s="706">
        <f t="shared" si="13"/>
        <v>105</v>
      </c>
      <c r="V33" s="705" t="s">
        <v>14</v>
      </c>
      <c r="W33" s="706">
        <f t="shared" si="14"/>
        <v>105</v>
      </c>
      <c r="X33" s="1355"/>
      <c r="Y33" s="3908" t="s">
        <v>1694</v>
      </c>
      <c r="Z33" s="1356" t="str">
        <f t="shared" si="15"/>
        <v>建筑类型</v>
      </c>
      <c r="AA33" s="1353">
        <f t="shared" si="3"/>
        <v>0.95238095238095233</v>
      </c>
      <c r="AB33" s="1353">
        <f t="shared" si="4"/>
        <v>0.95238095238095233</v>
      </c>
      <c r="AC33" s="1962">
        <f t="shared" si="5"/>
        <v>0.95238095238095233</v>
      </c>
    </row>
    <row r="34" spans="1:29" s="422" customFormat="1" ht="15">
      <c r="A34" s="419"/>
      <c r="B34" s="375" t="s">
        <v>1695</v>
      </c>
      <c r="C34" s="420"/>
      <c r="D34" s="127">
        <v>100</v>
      </c>
      <c r="E34" s="381"/>
      <c r="F34" s="376">
        <f>LOOKUP(E34,104:104,105:105)-LOOKUP(C34,104:104,105:105)+100</f>
        <v>100</v>
      </c>
      <c r="G34" s="380"/>
      <c r="H34" s="127">
        <f>LOOKUP(G34,104:104,105:105)-LOOKUP(C34,104:104,105:105)+100</f>
        <v>100</v>
      </c>
      <c r="I34" s="380"/>
      <c r="J34" s="127">
        <f>LOOKUP(I34,104:104,105:105)-LOOKUP(C34,104:104,105:105)+100</f>
        <v>100</v>
      </c>
      <c r="K34" s="562"/>
      <c r="L34" s="2721"/>
      <c r="M34" s="2723"/>
      <c r="N34" s="2723"/>
      <c r="O34" s="2723"/>
      <c r="P34" s="3906"/>
      <c r="Q34" s="707" t="str">
        <f t="shared" si="11"/>
        <v>项目建筑规模</v>
      </c>
      <c r="R34" s="708" t="s">
        <v>14</v>
      </c>
      <c r="S34" s="709">
        <f t="shared" si="12"/>
        <v>100</v>
      </c>
      <c r="T34" s="708" t="s">
        <v>14</v>
      </c>
      <c r="U34" s="709">
        <f t="shared" si="13"/>
        <v>100</v>
      </c>
      <c r="V34" s="708" t="s">
        <v>14</v>
      </c>
      <c r="W34" s="709">
        <f t="shared" si="14"/>
        <v>100</v>
      </c>
      <c r="X34" s="710"/>
      <c r="Y34" s="3908"/>
      <c r="Z34" s="711" t="str">
        <f t="shared" si="15"/>
        <v>项目建筑规模</v>
      </c>
      <c r="AA34" s="1353">
        <f t="shared" si="3"/>
        <v>1</v>
      </c>
      <c r="AB34" s="1353">
        <f t="shared" si="4"/>
        <v>1</v>
      </c>
      <c r="AC34" s="1962">
        <f t="shared" si="5"/>
        <v>1</v>
      </c>
    </row>
    <row r="35" spans="1:29" ht="15">
      <c r="A35" s="423"/>
      <c r="B35" s="375" t="s">
        <v>1696</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906"/>
      <c r="Q35" s="1352" t="str">
        <f t="shared" si="11"/>
        <v>建筑结构</v>
      </c>
      <c r="R35" s="705" t="s">
        <v>14</v>
      </c>
      <c r="S35" s="706">
        <f t="shared" si="12"/>
        <v>100</v>
      </c>
      <c r="T35" s="705" t="s">
        <v>14</v>
      </c>
      <c r="U35" s="706">
        <f t="shared" si="13"/>
        <v>100</v>
      </c>
      <c r="V35" s="705" t="s">
        <v>14</v>
      </c>
      <c r="W35" s="706">
        <f t="shared" si="14"/>
        <v>100</v>
      </c>
      <c r="X35" s="1355"/>
      <c r="Y35" s="3908"/>
      <c r="Z35" s="1356" t="str">
        <f t="shared" si="15"/>
        <v>建筑结构</v>
      </c>
      <c r="AA35" s="1353">
        <f t="shared" si="3"/>
        <v>1</v>
      </c>
      <c r="AB35" s="1353">
        <f t="shared" si="4"/>
        <v>1</v>
      </c>
      <c r="AC35" s="1962">
        <f t="shared" si="5"/>
        <v>1</v>
      </c>
    </row>
    <row r="36" spans="1:29" ht="15">
      <c r="A36" s="423"/>
      <c r="B36" s="375" t="s">
        <v>1783</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906"/>
      <c r="Q36" s="1352" t="str">
        <f t="shared" si="11"/>
        <v>公共部分装修</v>
      </c>
      <c r="R36" s="705" t="s">
        <v>14</v>
      </c>
      <c r="S36" s="706">
        <f t="shared" si="12"/>
        <v>100</v>
      </c>
      <c r="T36" s="705" t="s">
        <v>14</v>
      </c>
      <c r="U36" s="706">
        <f t="shared" si="13"/>
        <v>100</v>
      </c>
      <c r="V36" s="705" t="s">
        <v>14</v>
      </c>
      <c r="W36" s="706">
        <f t="shared" si="14"/>
        <v>100</v>
      </c>
      <c r="X36" s="1355"/>
      <c r="Y36" s="3908"/>
      <c r="Z36" s="1356" t="str">
        <f t="shared" si="15"/>
        <v>公共部分装修</v>
      </c>
      <c r="AA36" s="1353">
        <f t="shared" si="3"/>
        <v>1</v>
      </c>
      <c r="AB36" s="1353">
        <f t="shared" si="4"/>
        <v>1</v>
      </c>
      <c r="AC36" s="1962">
        <f t="shared" si="5"/>
        <v>1</v>
      </c>
    </row>
    <row r="37" spans="1:29" ht="15">
      <c r="A37" s="423"/>
      <c r="B37" s="375" t="s">
        <v>1784</v>
      </c>
      <c r="C37" s="425">
        <v>0.65</v>
      </c>
      <c r="D37" s="386">
        <v>100</v>
      </c>
      <c r="E37" s="425">
        <v>0.75</v>
      </c>
      <c r="F37" s="412">
        <f>LOOKUP(E37,111:111,112:112)-LOOKUP(C37,111:111,112:112)+100</f>
        <v>101</v>
      </c>
      <c r="G37" s="425">
        <v>0.75</v>
      </c>
      <c r="H37" s="412">
        <f>LOOKUP(G37,111:111,112:112)-LOOKUP(C37,111:111,112:112)+100</f>
        <v>101</v>
      </c>
      <c r="I37" s="425">
        <v>0.75</v>
      </c>
      <c r="J37" s="386">
        <f>LOOKUP(I37,111:111,112:112)-LOOKUP(C37,111:111,112:112)+100</f>
        <v>101</v>
      </c>
      <c r="K37" s="561">
        <v>1</v>
      </c>
      <c r="L37" s="2722"/>
      <c r="M37" s="2716"/>
      <c r="N37" s="2716"/>
      <c r="O37" s="2716"/>
      <c r="P37" s="3906"/>
      <c r="Q37" s="1352" t="str">
        <f t="shared" si="11"/>
        <v>成新度</v>
      </c>
      <c r="R37" s="705" t="s">
        <v>14</v>
      </c>
      <c r="S37" s="706">
        <f t="shared" si="12"/>
        <v>101</v>
      </c>
      <c r="T37" s="705" t="s">
        <v>14</v>
      </c>
      <c r="U37" s="706">
        <f t="shared" si="13"/>
        <v>101</v>
      </c>
      <c r="V37" s="705" t="s">
        <v>14</v>
      </c>
      <c r="W37" s="706">
        <f t="shared" si="14"/>
        <v>101</v>
      </c>
      <c r="X37" s="1355"/>
      <c r="Y37" s="3908"/>
      <c r="Z37" s="1356" t="str">
        <f t="shared" si="15"/>
        <v>成新度</v>
      </c>
      <c r="AA37" s="1353">
        <f t="shared" si="3"/>
        <v>0.99009900990099009</v>
      </c>
      <c r="AB37" s="1353">
        <f t="shared" si="4"/>
        <v>0.99009900990099009</v>
      </c>
      <c r="AC37" s="1962">
        <f t="shared" si="5"/>
        <v>0.99009900990099009</v>
      </c>
    </row>
    <row r="38" spans="1:29" s="108" customFormat="1" ht="15">
      <c r="A38" s="424"/>
      <c r="B38" s="375" t="s">
        <v>1816</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906"/>
      <c r="Q38" s="1343" t="str">
        <f t="shared" si="11"/>
        <v>写字楼等级</v>
      </c>
      <c r="R38" s="701" t="s">
        <v>14</v>
      </c>
      <c r="S38" s="702">
        <f t="shared" si="12"/>
        <v>100</v>
      </c>
      <c r="T38" s="701" t="s">
        <v>14</v>
      </c>
      <c r="U38" s="702">
        <f t="shared" si="13"/>
        <v>100</v>
      </c>
      <c r="V38" s="701" t="s">
        <v>14</v>
      </c>
      <c r="W38" s="702">
        <f t="shared" si="14"/>
        <v>100</v>
      </c>
      <c r="X38" s="703"/>
      <c r="Y38" s="3908"/>
      <c r="Z38" s="52" t="str">
        <f t="shared" si="15"/>
        <v>写字楼等级</v>
      </c>
      <c r="AA38" s="704">
        <f t="shared" si="3"/>
        <v>1</v>
      </c>
      <c r="AB38" s="704">
        <f t="shared" si="4"/>
        <v>1</v>
      </c>
      <c r="AC38" s="1959">
        <f t="shared" si="5"/>
        <v>1</v>
      </c>
    </row>
    <row r="39" spans="1:29" ht="15">
      <c r="A39" s="423"/>
      <c r="B39" s="375" t="s">
        <v>1817</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906" t="s">
        <v>1694</v>
      </c>
      <c r="Q39" s="1352" t="str">
        <f t="shared" si="11"/>
        <v>物业管理</v>
      </c>
      <c r="R39" s="705" t="s">
        <v>14</v>
      </c>
      <c r="S39" s="706">
        <f t="shared" si="12"/>
        <v>100</v>
      </c>
      <c r="T39" s="705" t="s">
        <v>14</v>
      </c>
      <c r="U39" s="706">
        <f t="shared" si="13"/>
        <v>100</v>
      </c>
      <c r="V39" s="705" t="s">
        <v>14</v>
      </c>
      <c r="W39" s="706">
        <f t="shared" si="14"/>
        <v>100</v>
      </c>
      <c r="X39" s="1355"/>
      <c r="Y39" s="3908" t="s">
        <v>1694</v>
      </c>
      <c r="Z39" s="1356" t="str">
        <f t="shared" si="15"/>
        <v>物业管理</v>
      </c>
      <c r="AA39" s="1353">
        <f t="shared" si="3"/>
        <v>1</v>
      </c>
      <c r="AB39" s="1353">
        <f t="shared" si="4"/>
        <v>1</v>
      </c>
      <c r="AC39" s="1962">
        <f t="shared" si="5"/>
        <v>1</v>
      </c>
    </row>
    <row r="40" spans="1:29" ht="15">
      <c r="A40" s="423"/>
      <c r="B40" s="375" t="s">
        <v>1785</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906"/>
      <c r="Q40" s="1352" t="str">
        <f t="shared" si="11"/>
        <v>市政基础设施</v>
      </c>
      <c r="R40" s="705" t="s">
        <v>14</v>
      </c>
      <c r="S40" s="706">
        <f t="shared" si="12"/>
        <v>100</v>
      </c>
      <c r="T40" s="705" t="s">
        <v>14</v>
      </c>
      <c r="U40" s="706">
        <f t="shared" si="13"/>
        <v>100</v>
      </c>
      <c r="V40" s="705" t="s">
        <v>14</v>
      </c>
      <c r="W40" s="706">
        <f t="shared" si="14"/>
        <v>100</v>
      </c>
      <c r="X40" s="1355"/>
      <c r="Y40" s="3908"/>
      <c r="Z40" s="1356" t="str">
        <f t="shared" si="15"/>
        <v>市政基础设施</v>
      </c>
      <c r="AA40" s="1353">
        <f t="shared" si="3"/>
        <v>1</v>
      </c>
      <c r="AB40" s="1353">
        <f t="shared" si="4"/>
        <v>1</v>
      </c>
      <c r="AC40" s="1962">
        <f t="shared" si="5"/>
        <v>1</v>
      </c>
    </row>
    <row r="41" spans="1:29" ht="15">
      <c r="A41" s="423"/>
      <c r="B41" s="375" t="s">
        <v>1787</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906"/>
      <c r="Q41" s="1352" t="str">
        <f t="shared" si="11"/>
        <v>层高</v>
      </c>
      <c r="R41" s="705" t="s">
        <v>14</v>
      </c>
      <c r="S41" s="706">
        <f t="shared" si="12"/>
        <v>100</v>
      </c>
      <c r="T41" s="705" t="s">
        <v>14</v>
      </c>
      <c r="U41" s="706">
        <f t="shared" si="13"/>
        <v>100</v>
      </c>
      <c r="V41" s="705" t="s">
        <v>14</v>
      </c>
      <c r="W41" s="706">
        <f t="shared" si="14"/>
        <v>100</v>
      </c>
      <c r="X41" s="1355"/>
      <c r="Y41" s="3908"/>
      <c r="Z41" s="1356" t="str">
        <f t="shared" si="15"/>
        <v>层高</v>
      </c>
      <c r="AA41" s="1353">
        <f t="shared" si="3"/>
        <v>1</v>
      </c>
      <c r="AB41" s="1353">
        <f t="shared" si="4"/>
        <v>1</v>
      </c>
      <c r="AC41" s="1962">
        <f t="shared" si="5"/>
        <v>1</v>
      </c>
    </row>
    <row r="42" spans="1:29" s="422" customFormat="1" ht="15">
      <c r="A42" s="419"/>
      <c r="B42" s="1354" t="s">
        <v>1818</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906"/>
      <c r="Q42" s="707" t="str">
        <f t="shared" si="11"/>
        <v>单套建筑面积</v>
      </c>
      <c r="R42" s="708" t="s">
        <v>14</v>
      </c>
      <c r="S42" s="709">
        <f t="shared" si="12"/>
        <v>100</v>
      </c>
      <c r="T42" s="708" t="s">
        <v>14</v>
      </c>
      <c r="U42" s="709">
        <f t="shared" si="13"/>
        <v>100</v>
      </c>
      <c r="V42" s="708" t="s">
        <v>14</v>
      </c>
      <c r="W42" s="709">
        <f t="shared" si="14"/>
        <v>100</v>
      </c>
      <c r="X42" s="710"/>
      <c r="Y42" s="3908"/>
      <c r="Z42" s="711" t="str">
        <f t="shared" si="15"/>
        <v>单套建筑面积</v>
      </c>
      <c r="AA42" s="1353">
        <f t="shared" si="3"/>
        <v>1</v>
      </c>
      <c r="AB42" s="1353">
        <f t="shared" si="4"/>
        <v>1</v>
      </c>
      <c r="AC42" s="1962">
        <f t="shared" si="5"/>
        <v>1</v>
      </c>
    </row>
    <row r="43" spans="1:29" ht="15">
      <c r="A43" s="423"/>
      <c r="B43" s="375" t="s">
        <v>1790</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906"/>
      <c r="Q43" s="1352" t="str">
        <f t="shared" si="11"/>
        <v>内部装修</v>
      </c>
      <c r="R43" s="705" t="s">
        <v>14</v>
      </c>
      <c r="S43" s="706">
        <f t="shared" si="12"/>
        <v>100</v>
      </c>
      <c r="T43" s="705" t="s">
        <v>14</v>
      </c>
      <c r="U43" s="706">
        <f t="shared" si="13"/>
        <v>100</v>
      </c>
      <c r="V43" s="705" t="s">
        <v>14</v>
      </c>
      <c r="W43" s="706">
        <f t="shared" si="14"/>
        <v>100</v>
      </c>
      <c r="X43" s="1355"/>
      <c r="Y43" s="3908"/>
      <c r="Z43" s="1356" t="str">
        <f t="shared" si="15"/>
        <v>内部装修</v>
      </c>
      <c r="AA43" s="1353">
        <f t="shared" si="3"/>
        <v>1</v>
      </c>
      <c r="AB43" s="1353">
        <f t="shared" si="4"/>
        <v>1</v>
      </c>
      <c r="AC43" s="1962">
        <f t="shared" si="5"/>
        <v>1</v>
      </c>
    </row>
    <row r="44" spans="1:29" ht="15">
      <c r="A44" s="423"/>
      <c r="B44" s="375" t="s">
        <v>1705</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906"/>
      <c r="Q44" s="1352" t="str">
        <f t="shared" si="11"/>
        <v>内部装修维护情况</v>
      </c>
      <c r="R44" s="705" t="s">
        <v>14</v>
      </c>
      <c r="S44" s="706">
        <f t="shared" si="12"/>
        <v>100</v>
      </c>
      <c r="T44" s="705" t="s">
        <v>14</v>
      </c>
      <c r="U44" s="706">
        <f t="shared" si="13"/>
        <v>100</v>
      </c>
      <c r="V44" s="705" t="s">
        <v>14</v>
      </c>
      <c r="W44" s="706">
        <f t="shared" si="14"/>
        <v>100</v>
      </c>
      <c r="X44" s="1355"/>
      <c r="Y44" s="3908"/>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906"/>
      <c r="Q45" s="1343">
        <f t="shared" si="11"/>
        <v>111</v>
      </c>
      <c r="R45" s="701" t="s">
        <v>14</v>
      </c>
      <c r="S45" s="702">
        <f t="shared" si="12"/>
        <v>100</v>
      </c>
      <c r="T45" s="701" t="s">
        <v>14</v>
      </c>
      <c r="U45" s="702">
        <f t="shared" si="13"/>
        <v>100</v>
      </c>
      <c r="V45" s="701" t="s">
        <v>14</v>
      </c>
      <c r="W45" s="702">
        <f t="shared" si="14"/>
        <v>100</v>
      </c>
      <c r="X45" s="703"/>
      <c r="Y45" s="3908"/>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906"/>
      <c r="Q46" s="1352">
        <f t="shared" si="11"/>
        <v>111</v>
      </c>
      <c r="R46" s="705" t="s">
        <v>14</v>
      </c>
      <c r="S46" s="706">
        <f t="shared" si="12"/>
        <v>100</v>
      </c>
      <c r="T46" s="705" t="s">
        <v>14</v>
      </c>
      <c r="U46" s="706">
        <f t="shared" si="13"/>
        <v>100</v>
      </c>
      <c r="V46" s="705" t="s">
        <v>14</v>
      </c>
      <c r="W46" s="706">
        <f t="shared" si="14"/>
        <v>100</v>
      </c>
      <c r="X46" s="1355"/>
      <c r="Y46" s="3908"/>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907"/>
      <c r="Q47" s="1352">
        <f t="shared" si="11"/>
        <v>111</v>
      </c>
      <c r="R47" s="705" t="s">
        <v>14</v>
      </c>
      <c r="S47" s="706">
        <f t="shared" si="12"/>
        <v>100</v>
      </c>
      <c r="T47" s="705" t="s">
        <v>14</v>
      </c>
      <c r="U47" s="706">
        <f t="shared" si="13"/>
        <v>100</v>
      </c>
      <c r="V47" s="705" t="s">
        <v>14</v>
      </c>
      <c r="W47" s="706">
        <f t="shared" si="14"/>
        <v>100</v>
      </c>
      <c r="X47" s="1355"/>
      <c r="Y47" s="3909"/>
      <c r="Z47" s="1356">
        <f t="shared" si="15"/>
        <v>111</v>
      </c>
      <c r="AA47" s="1353">
        <f t="shared" si="3"/>
        <v>1</v>
      </c>
      <c r="AB47" s="1353">
        <f t="shared" si="4"/>
        <v>1</v>
      </c>
      <c r="AC47" s="1962">
        <f t="shared" si="5"/>
        <v>1</v>
      </c>
    </row>
    <row r="48" spans="1:29" ht="15">
      <c r="A48" s="430" t="s">
        <v>1706</v>
      </c>
      <c r="B48" s="431"/>
      <c r="C48" s="1154" t="s">
        <v>0</v>
      </c>
      <c r="D48" s="1155"/>
      <c r="E48" s="1156">
        <v>7.5</v>
      </c>
      <c r="F48" s="1157"/>
      <c r="G48" s="1158">
        <v>7.8</v>
      </c>
      <c r="H48" s="1159"/>
      <c r="I48" s="1156">
        <v>7.5</v>
      </c>
      <c r="J48" s="436"/>
      <c r="K48" s="714"/>
      <c r="L48" s="2724"/>
      <c r="M48" s="2716"/>
      <c r="N48" s="2716"/>
      <c r="O48" s="2716"/>
      <c r="P48" s="3912" t="str">
        <f>A48</f>
        <v>成交单价（元/平方米）</v>
      </c>
      <c r="Q48" s="3901"/>
      <c r="R48" s="3902">
        <f>E48</f>
        <v>7.5</v>
      </c>
      <c r="S48" s="3902"/>
      <c r="T48" s="3902">
        <f>G48</f>
        <v>7.8</v>
      </c>
      <c r="U48" s="3902"/>
      <c r="V48" s="3902">
        <f>I48</f>
        <v>7.5</v>
      </c>
      <c r="W48" s="3902"/>
      <c r="X48" s="397"/>
      <c r="Y48" s="712"/>
      <c r="Z48" s="397"/>
      <c r="AA48" s="397"/>
      <c r="AB48" s="397"/>
      <c r="AC48" s="578"/>
    </row>
    <row r="49" spans="1:29" ht="15.75" thickBot="1">
      <c r="A49" s="437" t="s">
        <v>1791</v>
      </c>
      <c r="B49" s="438"/>
      <c r="C49" s="1160">
        <f>R50</f>
        <v>7</v>
      </c>
      <c r="D49" s="2317" t="s">
        <v>2135</v>
      </c>
      <c r="E49" s="1161">
        <f>R49</f>
        <v>6.9</v>
      </c>
      <c r="F49" s="2318"/>
      <c r="G49" s="1160">
        <f>T49</f>
        <v>7.1</v>
      </c>
      <c r="H49" s="2318"/>
      <c r="I49" s="1161">
        <f>V49</f>
        <v>6.9</v>
      </c>
      <c r="J49" s="2318"/>
      <c r="K49" s="2320">
        <f>F49+H49+J49</f>
        <v>0</v>
      </c>
      <c r="L49" s="2724"/>
      <c r="M49" s="2716"/>
      <c r="N49" s="2716"/>
      <c r="O49" s="2716"/>
      <c r="P49" s="3912" t="str">
        <f>A49</f>
        <v>比较价值（元/平方米）</v>
      </c>
      <c r="Q49" s="3901"/>
      <c r="R49" s="3902">
        <f>IF(F1="售价",ROUND(PRODUCT(R48,AA7:AA47),0),ROUND(PRODUCT(R48,AA7:AA47),1))</f>
        <v>6.9</v>
      </c>
      <c r="S49" s="3902"/>
      <c r="T49" s="3902">
        <f>IF(F1="售价",ROUND(PRODUCT(T48,AB7:AB47),0),ROUND(PRODUCT(T48,AB7:AB47),1))</f>
        <v>7.1</v>
      </c>
      <c r="U49" s="3902"/>
      <c r="V49" s="3902">
        <f>IF(F1="售价",ROUND(PRODUCT(V48,AC7:AC47),0),ROUND(PRODUCT(V48,AC7:AC47),1))</f>
        <v>6.9</v>
      </c>
      <c r="W49" s="3902"/>
      <c r="X49" s="397"/>
      <c r="Y49" s="397"/>
      <c r="Z49" s="397"/>
      <c r="AA49" s="397"/>
      <c r="AB49" s="397"/>
      <c r="AC49" s="578"/>
    </row>
    <row r="50" spans="1:29" ht="15.75" thickBot="1">
      <c r="A50" s="441" t="s">
        <v>1792</v>
      </c>
      <c r="B50" s="442"/>
      <c r="C50" s="1163">
        <f>R50</f>
        <v>7</v>
      </c>
      <c r="D50" s="1163"/>
      <c r="E50" s="1163"/>
      <c r="F50" s="1163"/>
      <c r="G50" s="1163"/>
      <c r="H50" s="1163"/>
      <c r="I50" s="1163"/>
      <c r="J50" s="443"/>
      <c r="K50" s="715"/>
      <c r="L50" s="2724"/>
      <c r="M50" s="2716"/>
      <c r="N50" s="2716"/>
      <c r="O50" s="2716"/>
      <c r="P50" s="3944" t="str">
        <f>A50</f>
        <v>估价对象XX用房的比较价值（楼面单价，元/平方米）</v>
      </c>
      <c r="Q50" s="3945"/>
      <c r="R50" s="3946">
        <f>IF(F1="售价",ROUND(IF(D49="简单平均",AVERAGE(R49:V49),R49*F49+T49*H49+V49*J49),0),ROUND(IF(D49="简单平均",AVERAGE(R49:V49),R49*F49+T49*H49+V49*J49),1))</f>
        <v>7</v>
      </c>
      <c r="S50" s="3946"/>
      <c r="T50" s="3946"/>
      <c r="U50" s="3946"/>
      <c r="V50" s="3946"/>
      <c r="W50" s="3946"/>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1793</v>
      </c>
      <c r="D53" s="447"/>
      <c r="E53" s="448">
        <f>IF(E48&lt;E49,E49/E48-1,E48/E49-1)</f>
        <v>8.6956521739130377E-2</v>
      </c>
      <c r="F53" s="449" t="str">
        <f>IF(OR(E53&gt;=0.3,E53&lt;=-0.3),"超过30%","")</f>
        <v/>
      </c>
      <c r="G53" s="448">
        <f>IF(G48&lt;G49,G49/G48-1,G48/G49-1)</f>
        <v>9.8591549295774739E-2</v>
      </c>
      <c r="H53" s="449" t="str">
        <f>IF(OR(G53&gt;=0.3,G53&lt;=-0.3),"超过30%","")</f>
        <v/>
      </c>
      <c r="I53" s="448">
        <f>IF(I48&lt;I49,I49/I48-1,I48/I49-1)</f>
        <v>8.6956521739130377E-2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1794</v>
      </c>
      <c r="D54" s="450"/>
      <c r="E54" s="448">
        <f>IF(E49&lt;G49,G49/E49-1,E49/G49-1)</f>
        <v>2.8985507246376718E-2</v>
      </c>
      <c r="F54" s="449" t="str">
        <f>IF(OR(E54&gt;=0.2,E54&lt;=-0.2),"超过20%","")</f>
        <v/>
      </c>
      <c r="G54" s="448">
        <f>IF(G49&lt;I49,I49/G49-1,G49/I49-1)</f>
        <v>2.8985507246376718E-2</v>
      </c>
      <c r="H54" s="449" t="str">
        <f>IF(OR(G54&gt;=0.2,G54&lt;=-0.2),"超过20%","")</f>
        <v/>
      </c>
      <c r="I54" s="448">
        <f>IF(I49&lt;E49,E49/I49-1,I49/E49-1)</f>
        <v>0</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1795</v>
      </c>
      <c r="D55" s="450"/>
      <c r="E55" s="448">
        <f>IF(E48&lt;G48,G48/E48-1,E48/G48-1)</f>
        <v>4.0000000000000036E-2</v>
      </c>
      <c r="F55" s="449" t="str">
        <f>IF(OR(E55&gt;=0.3,E55&lt;=-0.3),"超过30%","")</f>
        <v/>
      </c>
      <c r="G55" s="448">
        <f>IF(G48&lt;I48,I48/G48-1,G48/I48-1)</f>
        <v>4.0000000000000036E-2</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1796</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1677</v>
      </c>
      <c r="B59" s="455"/>
      <c r="C59" s="1184" t="str">
        <f>YEAR(C7)&amp;"-"&amp;MONTH(C7)</f>
        <v>2024-4</v>
      </c>
      <c r="D59" s="1185">
        <f>EDATE(C59,-1)</f>
        <v>45352</v>
      </c>
      <c r="E59" s="1185">
        <f>EDATE(D59,-1)</f>
        <v>45323</v>
      </c>
      <c r="F59" s="1185">
        <f t="shared" ref="F59:O59" si="16">EDATE(E59,-1)</f>
        <v>45292</v>
      </c>
      <c r="G59" s="1185">
        <f t="shared" si="16"/>
        <v>45261</v>
      </c>
      <c r="H59" s="1185">
        <f t="shared" si="16"/>
        <v>45231</v>
      </c>
      <c r="I59" s="1185">
        <f t="shared" si="16"/>
        <v>45200</v>
      </c>
      <c r="J59" s="1185">
        <f t="shared" si="16"/>
        <v>45170</v>
      </c>
      <c r="K59" s="1185">
        <f t="shared" si="16"/>
        <v>45139</v>
      </c>
      <c r="L59" s="1185">
        <f t="shared" si="16"/>
        <v>45108</v>
      </c>
      <c r="M59" s="1185">
        <f t="shared" si="16"/>
        <v>45078</v>
      </c>
      <c r="N59" s="1185">
        <f t="shared" si="16"/>
        <v>45047</v>
      </c>
      <c r="O59" s="1185">
        <f t="shared" si="16"/>
        <v>45017</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1714</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1679</v>
      </c>
      <c r="B62" s="459"/>
      <c r="C62" s="471" t="s">
        <v>1774</v>
      </c>
      <c r="D62" s="3583" t="s">
        <v>3667</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103</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1717</v>
      </c>
      <c r="B64" s="477" t="s">
        <v>1683</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1686</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1687</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1688</v>
      </c>
      <c r="B77" s="477" t="s">
        <v>1819</v>
      </c>
      <c r="C77" s="522" t="s">
        <v>1719</v>
      </c>
      <c r="D77" s="522" t="s">
        <v>1720</v>
      </c>
      <c r="E77" s="522" t="s">
        <v>1721</v>
      </c>
      <c r="F77" s="522" t="s">
        <v>1722</v>
      </c>
      <c r="G77" s="522" t="s">
        <v>1723</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97</v>
      </c>
      <c r="E78" s="493">
        <f>D78-$K15</f>
        <v>94</v>
      </c>
      <c r="F78" s="493">
        <f>E78-$K15</f>
        <v>91</v>
      </c>
      <c r="G78" s="493">
        <f>F78-$K15</f>
        <v>88</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1724</v>
      </c>
      <c r="C79" s="527" t="s">
        <v>1719</v>
      </c>
      <c r="D79" s="527" t="s">
        <v>1720</v>
      </c>
      <c r="E79" s="527" t="s">
        <v>1721</v>
      </c>
      <c r="F79" s="527" t="s">
        <v>1722</v>
      </c>
      <c r="G79" s="527" t="s">
        <v>1723</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97</v>
      </c>
      <c r="E80" s="493">
        <f>D80-$K17</f>
        <v>94</v>
      </c>
      <c r="F80" s="493">
        <f>E80-$K17</f>
        <v>91</v>
      </c>
      <c r="G80" s="493">
        <f>F80-$K17</f>
        <v>88</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1725</v>
      </c>
      <c r="C81" s="527" t="s">
        <v>1719</v>
      </c>
      <c r="D81" s="527" t="s">
        <v>1720</v>
      </c>
      <c r="E81" s="527" t="s">
        <v>1721</v>
      </c>
      <c r="F81" s="527" t="s">
        <v>1722</v>
      </c>
      <c r="G81" s="527" t="s">
        <v>1723</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97</v>
      </c>
      <c r="E82" s="493">
        <f>D82-$K19</f>
        <v>94</v>
      </c>
      <c r="F82" s="493">
        <f>E82-$K19</f>
        <v>91</v>
      </c>
      <c r="G82" s="493">
        <f>F82-$K19</f>
        <v>88</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1811</v>
      </c>
      <c r="C83" s="608" t="s">
        <v>1797</v>
      </c>
      <c r="D83" s="608" t="s">
        <v>1798</v>
      </c>
      <c r="E83" s="608" t="s">
        <v>1799</v>
      </c>
      <c r="F83" s="608" t="s">
        <v>1800</v>
      </c>
      <c r="G83" s="608" t="s">
        <v>1801</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99</v>
      </c>
      <c r="E84" s="493">
        <f>D84-$K21</f>
        <v>98</v>
      </c>
      <c r="F84" s="493">
        <f>E84-$K21</f>
        <v>97</v>
      </c>
      <c r="G84" s="493">
        <f>F84-$K21</f>
        <v>96</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1820</v>
      </c>
      <c r="C85" s="527" t="s">
        <v>1719</v>
      </c>
      <c r="D85" s="527" t="s">
        <v>1720</v>
      </c>
      <c r="E85" s="527" t="s">
        <v>1721</v>
      </c>
      <c r="F85" s="527" t="s">
        <v>1722</v>
      </c>
      <c r="G85" s="527" t="s">
        <v>1723</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97</v>
      </c>
      <c r="E86" s="493">
        <f>D86-$K23</f>
        <v>94</v>
      </c>
      <c r="F86" s="493">
        <f>E86-$K23</f>
        <v>91</v>
      </c>
      <c r="G86" s="493">
        <f>F86-$K23</f>
        <v>88</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1821</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1692</v>
      </c>
      <c r="B101" s="477" t="s">
        <v>1734</v>
      </c>
      <c r="C101" s="3585" t="s">
        <v>3671</v>
      </c>
      <c r="D101" s="3585" t="s">
        <v>3673</v>
      </c>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95</v>
      </c>
      <c r="E102" s="493">
        <f t="shared" si="22"/>
        <v>90</v>
      </c>
      <c r="F102" s="493">
        <f t="shared" si="22"/>
        <v>85</v>
      </c>
      <c r="G102" s="493">
        <f t="shared" si="22"/>
        <v>80</v>
      </c>
      <c r="H102" s="493">
        <f t="shared" si="22"/>
        <v>75</v>
      </c>
      <c r="I102" s="493">
        <f t="shared" si="22"/>
        <v>70</v>
      </c>
      <c r="J102" s="493">
        <f t="shared" si="22"/>
        <v>65</v>
      </c>
      <c r="K102" s="493">
        <f t="shared" si="22"/>
        <v>60</v>
      </c>
      <c r="L102" s="493">
        <f t="shared" si="22"/>
        <v>55</v>
      </c>
      <c r="M102" s="494">
        <f t="shared" si="22"/>
        <v>50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1735</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1736</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1738</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1822</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1739</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1740</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1823</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1806</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1742</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1743</v>
      </c>
      <c r="C125" s="527" t="s">
        <v>1719</v>
      </c>
      <c r="D125" s="527" t="s">
        <v>1720</v>
      </c>
      <c r="E125" s="527" t="s">
        <v>1721</v>
      </c>
      <c r="F125" s="527" t="s">
        <v>1722</v>
      </c>
      <c r="G125" s="527" t="s">
        <v>1723</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32" priority="20" stopIfTrue="1" operator="containsText" text="超过">
      <formula>NOT(ISERROR(SEARCH("超过",F53)))</formula>
    </cfRule>
  </conditionalFormatting>
  <conditionalFormatting sqref="H55">
    <cfRule type="containsText" dxfId="131" priority="19" stopIfTrue="1" operator="containsText" text="超过">
      <formula>NOT(ISERROR(SEARCH("超过",H55)))</formula>
    </cfRule>
  </conditionalFormatting>
  <conditionalFormatting sqref="F55">
    <cfRule type="containsText" dxfId="130" priority="18" stopIfTrue="1" operator="containsText" text="超过">
      <formula>NOT(ISERROR(SEARCH("超过",F55)))</formula>
    </cfRule>
  </conditionalFormatting>
  <conditionalFormatting sqref="F54 H54">
    <cfRule type="containsText" dxfId="129" priority="17" stopIfTrue="1" operator="containsText" text="超过">
      <formula>NOT(ISERROR(SEARCH("超过",F54)))</formula>
    </cfRule>
  </conditionalFormatting>
  <conditionalFormatting sqref="E53">
    <cfRule type="expression" dxfId="128" priority="16" stopIfTrue="1">
      <formula>$F$53="超过30%"</formula>
    </cfRule>
  </conditionalFormatting>
  <conditionalFormatting sqref="E54">
    <cfRule type="expression" dxfId="127" priority="15" stopIfTrue="1">
      <formula>$F$54="超过20%"</formula>
    </cfRule>
  </conditionalFormatting>
  <conditionalFormatting sqref="E55">
    <cfRule type="expression" dxfId="126" priority="14" stopIfTrue="1">
      <formula>$F$55="超过30%"</formula>
    </cfRule>
  </conditionalFormatting>
  <conditionalFormatting sqref="G55">
    <cfRule type="expression" dxfId="125" priority="13" stopIfTrue="1">
      <formula>$H$55="超过30%"</formula>
    </cfRule>
  </conditionalFormatting>
  <conditionalFormatting sqref="G53">
    <cfRule type="expression" dxfId="124" priority="12" stopIfTrue="1">
      <formula>$H$53="超过30%"</formula>
    </cfRule>
  </conditionalFormatting>
  <conditionalFormatting sqref="G54">
    <cfRule type="expression" dxfId="123" priority="11" stopIfTrue="1">
      <formula>$H$54="超过20%"</formula>
    </cfRule>
  </conditionalFormatting>
  <conditionalFormatting sqref="J53">
    <cfRule type="containsText" dxfId="122" priority="10" stopIfTrue="1" operator="containsText" text="超过">
      <formula>NOT(ISERROR(SEARCH("超过",J53)))</formula>
    </cfRule>
  </conditionalFormatting>
  <conditionalFormatting sqref="J55">
    <cfRule type="containsText" dxfId="121" priority="9" stopIfTrue="1" operator="containsText" text="超过">
      <formula>NOT(ISERROR(SEARCH("超过",J55)))</formula>
    </cfRule>
  </conditionalFormatting>
  <conditionalFormatting sqref="J54">
    <cfRule type="containsText" dxfId="120" priority="8" stopIfTrue="1" operator="containsText" text="超过">
      <formula>NOT(ISERROR(SEARCH("超过",J54)))</formula>
    </cfRule>
  </conditionalFormatting>
  <conditionalFormatting sqref="I53">
    <cfRule type="expression" dxfId="119" priority="7" stopIfTrue="1">
      <formula>$J$53="超过30%"</formula>
    </cfRule>
  </conditionalFormatting>
  <conditionalFormatting sqref="I54">
    <cfRule type="expression" dxfId="118" priority="6" stopIfTrue="1">
      <formula>$J$53+$J$54="超过20%"</formula>
    </cfRule>
  </conditionalFormatting>
  <conditionalFormatting sqref="I55">
    <cfRule type="expression" dxfId="117" priority="5" stopIfTrue="1">
      <formula>$J$55="超过30%"</formula>
    </cfRule>
  </conditionalFormatting>
  <conditionalFormatting sqref="F49">
    <cfRule type="expression" dxfId="116" priority="4">
      <formula>$D$49="简单平均"</formula>
    </cfRule>
  </conditionalFormatting>
  <conditionalFormatting sqref="H49">
    <cfRule type="expression" dxfId="115" priority="3">
      <formula>$D$49="简单平均"</formula>
    </cfRule>
  </conditionalFormatting>
  <conditionalFormatting sqref="J49">
    <cfRule type="expression" dxfId="114" priority="2">
      <formula>$D$49="简单平均"</formula>
    </cfRule>
  </conditionalFormatting>
  <conditionalFormatting sqref="F7:F47 H7:H47 J7:J47">
    <cfRule type="cellIs" dxfId="11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1658</v>
      </c>
      <c r="B1" s="1957" t="s">
        <v>1824</v>
      </c>
      <c r="C1" s="1224" t="s">
        <v>1660</v>
      </c>
      <c r="D1" s="1225"/>
      <c r="E1" s="3433"/>
      <c r="F1" s="1879"/>
      <c r="G1" s="1235" t="s">
        <v>1765</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1460</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1461</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1462</v>
      </c>
      <c r="B3" s="558">
        <f>IF(C2="——",C43,ROUND(B2*10000/D3,0))</f>
        <v>0</v>
      </c>
      <c r="C3" s="354" t="s">
        <v>1766</v>
      </c>
      <c r="D3" s="353">
        <f>IF(D1="",'数据-汇总表'!E3,SUMIF('数据-汇总表'!$C19:$C33,D1,'数据-汇总表'!$E19:$E33))</f>
        <v>18448.600000000002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1767</v>
      </c>
      <c r="B4" s="356"/>
      <c r="C4" s="3916" t="s">
        <v>1768</v>
      </c>
      <c r="D4" s="3917"/>
      <c r="E4" s="3918" t="s">
        <v>1769</v>
      </c>
      <c r="F4" s="3919"/>
      <c r="G4" s="3916" t="s">
        <v>1770</v>
      </c>
      <c r="H4" s="3917"/>
      <c r="I4" s="3916" t="s">
        <v>1771</v>
      </c>
      <c r="J4" s="3917"/>
      <c r="K4" s="559" t="s">
        <v>1772</v>
      </c>
      <c r="L4" s="913"/>
      <c r="M4" s="914"/>
      <c r="N4" s="914"/>
      <c r="O4" s="914"/>
      <c r="P4" s="3920" t="s">
        <v>1773</v>
      </c>
      <c r="Q4" s="3921"/>
      <c r="R4" s="3926" t="s">
        <v>1769</v>
      </c>
      <c r="S4" s="3927"/>
      <c r="T4" s="3926" t="s">
        <v>1770</v>
      </c>
      <c r="U4" s="3927"/>
      <c r="V4" s="3932" t="s">
        <v>1771</v>
      </c>
      <c r="W4" s="3932"/>
      <c r="X4" s="1355"/>
      <c r="Y4" s="3926" t="s">
        <v>1773</v>
      </c>
      <c r="Z4" s="3927"/>
      <c r="AA4" s="3913" t="s">
        <v>1769</v>
      </c>
      <c r="AB4" s="3914" t="s">
        <v>1770</v>
      </c>
      <c r="AC4" s="3913" t="s">
        <v>1771</v>
      </c>
    </row>
    <row r="5" spans="1:29" ht="15">
      <c r="A5" s="358"/>
      <c r="B5" s="359"/>
      <c r="C5" s="3935" t="s">
        <v>1671</v>
      </c>
      <c r="D5" s="3936"/>
      <c r="E5" s="3942" t="s">
        <v>1672</v>
      </c>
      <c r="F5" s="3943"/>
      <c r="G5" s="3935" t="s">
        <v>1673</v>
      </c>
      <c r="H5" s="3936"/>
      <c r="I5" s="3935" t="s">
        <v>1674</v>
      </c>
      <c r="J5" s="3936"/>
      <c r="K5" s="559"/>
      <c r="L5" s="913"/>
      <c r="M5" s="914"/>
      <c r="N5" s="914"/>
      <c r="O5" s="914"/>
      <c r="P5" s="3922"/>
      <c r="Q5" s="3923"/>
      <c r="R5" s="3928"/>
      <c r="S5" s="3929"/>
      <c r="T5" s="3928"/>
      <c r="U5" s="3929"/>
      <c r="V5" s="3932"/>
      <c r="W5" s="3932"/>
      <c r="X5" s="1355"/>
      <c r="Y5" s="3928"/>
      <c r="Z5" s="3929"/>
      <c r="AA5" s="3914"/>
      <c r="AB5" s="3914"/>
      <c r="AC5" s="3914"/>
    </row>
    <row r="6" spans="1:29" ht="15.75" thickBot="1">
      <c r="A6" s="360"/>
      <c r="B6" s="361"/>
      <c r="C6" s="3933" t="s">
        <v>1675</v>
      </c>
      <c r="D6" s="3934"/>
      <c r="E6" s="3940" t="s">
        <v>1675</v>
      </c>
      <c r="F6" s="3941"/>
      <c r="G6" s="3933" t="s">
        <v>1675</v>
      </c>
      <c r="H6" s="3934"/>
      <c r="I6" s="3933" t="s">
        <v>1675</v>
      </c>
      <c r="J6" s="3934"/>
      <c r="K6" s="559" t="s">
        <v>1676</v>
      </c>
      <c r="L6" s="913"/>
      <c r="M6" s="914"/>
      <c r="N6" s="914"/>
      <c r="O6" s="914"/>
      <c r="P6" s="3924"/>
      <c r="Q6" s="3925"/>
      <c r="R6" s="3928"/>
      <c r="S6" s="3929"/>
      <c r="T6" s="3930"/>
      <c r="U6" s="3931"/>
      <c r="V6" s="3932"/>
      <c r="W6" s="3932"/>
      <c r="X6" s="1355"/>
      <c r="Y6" s="3930"/>
      <c r="Z6" s="3931"/>
      <c r="AA6" s="3915"/>
      <c r="AB6" s="3915"/>
      <c r="AC6" s="3915"/>
    </row>
    <row r="7" spans="1:29" s="108" customFormat="1" ht="15.75" thickBot="1">
      <c r="A7" s="362" t="s">
        <v>1677</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937" t="s">
        <v>1678</v>
      </c>
      <c r="Q7" s="3939"/>
      <c r="R7" s="701" t="s">
        <v>14</v>
      </c>
      <c r="S7" s="702">
        <f t="shared" ref="S7:S15" si="0">F7</f>
        <v>0</v>
      </c>
      <c r="T7" s="701" t="s">
        <v>14</v>
      </c>
      <c r="U7" s="702">
        <f t="shared" ref="U7:U15" si="1">H7</f>
        <v>0</v>
      </c>
      <c r="V7" s="701" t="s">
        <v>14</v>
      </c>
      <c r="W7" s="702">
        <f t="shared" ref="W7:W15" si="2">J7</f>
        <v>0</v>
      </c>
      <c r="X7" s="703"/>
      <c r="Y7" s="3937" t="s">
        <v>1678</v>
      </c>
      <c r="Z7" s="3938"/>
      <c r="AA7" s="704" t="e">
        <f>D7/F7</f>
        <v>#DIV/0!</v>
      </c>
      <c r="AB7" s="704" t="e">
        <f>D7/H7</f>
        <v>#DIV/0!</v>
      </c>
      <c r="AC7" s="704" t="e">
        <f>D7/J7</f>
        <v>#DIV/0!</v>
      </c>
    </row>
    <row r="8" spans="1:29" s="108" customFormat="1" ht="15.75" thickBot="1">
      <c r="A8" s="362" t="s">
        <v>1679</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937" t="s">
        <v>1681</v>
      </c>
      <c r="Q8" s="3938"/>
      <c r="R8" s="701" t="s">
        <v>14</v>
      </c>
      <c r="S8" s="702">
        <f t="shared" si="0"/>
        <v>100</v>
      </c>
      <c r="T8" s="701" t="s">
        <v>14</v>
      </c>
      <c r="U8" s="702">
        <f t="shared" si="1"/>
        <v>100</v>
      </c>
      <c r="V8" s="701" t="s">
        <v>14</v>
      </c>
      <c r="W8" s="702">
        <f t="shared" si="2"/>
        <v>100</v>
      </c>
      <c r="X8" s="703"/>
      <c r="Y8" s="3937" t="s">
        <v>1681</v>
      </c>
      <c r="Z8" s="3938"/>
      <c r="AA8" s="704">
        <f t="shared" ref="AA8:AA40" si="3">D8/F8</f>
        <v>1</v>
      </c>
      <c r="AB8" s="704">
        <f t="shared" ref="AB8:AB40" si="4">D8/H8</f>
        <v>1</v>
      </c>
      <c r="AC8" s="704">
        <f t="shared" ref="AC8:AC40" si="5">D8/J8</f>
        <v>1</v>
      </c>
    </row>
    <row r="9" spans="1:29" s="108" customFormat="1">
      <c r="A9" s="369" t="s">
        <v>1682</v>
      </c>
      <c r="B9" s="63" t="s">
        <v>1683</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901"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704">
        <f t="shared" si="5"/>
        <v>1</v>
      </c>
    </row>
    <row r="10" spans="1:29" s="378" customFormat="1" ht="27">
      <c r="A10" s="374"/>
      <c r="B10" s="375" t="s">
        <v>1686</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901"/>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704">
        <f t="shared" si="5"/>
        <v>1</v>
      </c>
    </row>
    <row r="11" spans="1:29" ht="15">
      <c r="A11" s="379"/>
      <c r="B11" s="375" t="s">
        <v>1687</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901"/>
      <c r="Q11" s="1343" t="str">
        <f t="shared" si="6"/>
        <v>容积率</v>
      </c>
      <c r="R11" s="701" t="s">
        <v>14</v>
      </c>
      <c r="S11" s="702">
        <f t="shared" si="0"/>
        <v>100</v>
      </c>
      <c r="T11" s="701" t="s">
        <v>14</v>
      </c>
      <c r="U11" s="702">
        <f t="shared" si="1"/>
        <v>100</v>
      </c>
      <c r="V11" s="701" t="s">
        <v>14</v>
      </c>
      <c r="W11" s="702">
        <f t="shared" si="2"/>
        <v>100</v>
      </c>
      <c r="X11" s="703"/>
      <c r="Y11" s="3757"/>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901"/>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901"/>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901"/>
      <c r="Q14" s="1343">
        <f t="shared" si="6"/>
        <v>111</v>
      </c>
      <c r="R14" s="701" t="s">
        <v>14</v>
      </c>
      <c r="S14" s="702">
        <f t="shared" si="0"/>
        <v>100</v>
      </c>
      <c r="T14" s="701" t="s">
        <v>14</v>
      </c>
      <c r="U14" s="702">
        <f t="shared" si="1"/>
        <v>100</v>
      </c>
      <c r="V14" s="701" t="s">
        <v>14</v>
      </c>
      <c r="W14" s="702">
        <f t="shared" si="2"/>
        <v>100</v>
      </c>
      <c r="X14" s="703"/>
      <c r="Y14" s="3757"/>
      <c r="Z14" s="52">
        <f t="shared" si="7"/>
        <v>111</v>
      </c>
      <c r="AA14" s="704">
        <f t="shared" si="3"/>
        <v>1</v>
      </c>
      <c r="AB14" s="704">
        <f t="shared" si="4"/>
        <v>1</v>
      </c>
      <c r="AC14" s="704">
        <f t="shared" si="5"/>
        <v>1</v>
      </c>
    </row>
    <row r="15" spans="1:29" ht="57">
      <c r="A15" s="391" t="s">
        <v>1688</v>
      </c>
      <c r="B15" s="61" t="s">
        <v>1825</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903" t="s">
        <v>1689</v>
      </c>
      <c r="Q15" s="1352" t="str">
        <f t="shared" si="6"/>
        <v>产业集聚程度</v>
      </c>
      <c r="R15" s="705" t="s">
        <v>14</v>
      </c>
      <c r="S15" s="706">
        <f t="shared" si="0"/>
        <v>100</v>
      </c>
      <c r="T15" s="705" t="s">
        <v>14</v>
      </c>
      <c r="U15" s="706">
        <f t="shared" si="1"/>
        <v>100</v>
      </c>
      <c r="V15" s="705" t="s">
        <v>14</v>
      </c>
      <c r="W15" s="706">
        <f t="shared" si="2"/>
        <v>100</v>
      </c>
      <c r="X15" s="1355"/>
      <c r="Y15" s="3903" t="s">
        <v>1689</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904"/>
      <c r="Q16" s="1352"/>
      <c r="R16" s="705"/>
      <c r="S16" s="706"/>
      <c r="T16" s="705"/>
      <c r="U16" s="706"/>
      <c r="V16" s="705"/>
      <c r="W16" s="706"/>
      <c r="X16" s="1355"/>
      <c r="Y16" s="3904"/>
      <c r="Z16" s="1356"/>
      <c r="AA16" s="1353">
        <v>1</v>
      </c>
      <c r="AB16" s="1353">
        <v>1</v>
      </c>
      <c r="AC16" s="1353">
        <v>1</v>
      </c>
    </row>
    <row r="17" spans="1:29" ht="85.5">
      <c r="A17" s="379"/>
      <c r="B17" s="402" t="s">
        <v>1257</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904"/>
      <c r="Q17" s="1352" t="str">
        <f>B17</f>
        <v>交通便捷度</v>
      </c>
      <c r="R17" s="705" t="s">
        <v>14</v>
      </c>
      <c r="S17" s="706">
        <f>F17</f>
        <v>100</v>
      </c>
      <c r="T17" s="705" t="s">
        <v>14</v>
      </c>
      <c r="U17" s="706">
        <f>H17</f>
        <v>100</v>
      </c>
      <c r="V17" s="705" t="s">
        <v>14</v>
      </c>
      <c r="W17" s="706">
        <f>J17</f>
        <v>100</v>
      </c>
      <c r="X17" s="1355"/>
      <c r="Y17" s="390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904"/>
      <c r="Q18" s="1352"/>
      <c r="R18" s="705"/>
      <c r="S18" s="706"/>
      <c r="T18" s="705"/>
      <c r="U18" s="706"/>
      <c r="V18" s="705"/>
      <c r="W18" s="706"/>
      <c r="X18" s="1355"/>
      <c r="Y18" s="3904"/>
      <c r="Z18" s="1356"/>
      <c r="AA18" s="1353">
        <v>1</v>
      </c>
      <c r="AB18" s="1353">
        <v>1</v>
      </c>
      <c r="AC18" s="1353">
        <v>1</v>
      </c>
    </row>
    <row r="19" spans="1:29" ht="42.75">
      <c r="A19" s="379"/>
      <c r="B19" s="402" t="s">
        <v>1810</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904"/>
      <c r="Q19" s="1352" t="str">
        <f>B19</f>
        <v>公共配套设施</v>
      </c>
      <c r="R19" s="705" t="s">
        <v>14</v>
      </c>
      <c r="S19" s="706">
        <f>F19</f>
        <v>100</v>
      </c>
      <c r="T19" s="705" t="s">
        <v>14</v>
      </c>
      <c r="U19" s="706">
        <f>H19</f>
        <v>100</v>
      </c>
      <c r="V19" s="705" t="s">
        <v>14</v>
      </c>
      <c r="W19" s="706">
        <f>J19</f>
        <v>100</v>
      </c>
      <c r="X19" s="1355"/>
      <c r="Y19" s="390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904"/>
      <c r="Q20" s="1352"/>
      <c r="R20" s="705"/>
      <c r="S20" s="706"/>
      <c r="T20" s="705"/>
      <c r="U20" s="706"/>
      <c r="V20" s="705"/>
      <c r="W20" s="706"/>
      <c r="X20" s="1355"/>
      <c r="Y20" s="3904"/>
      <c r="Z20" s="1356"/>
      <c r="AA20" s="1353">
        <v>1</v>
      </c>
      <c r="AB20" s="1353">
        <v>1</v>
      </c>
      <c r="AC20" s="1353">
        <v>1</v>
      </c>
    </row>
    <row r="21" spans="1:29" ht="28.5">
      <c r="A21" s="379"/>
      <c r="B21" s="1131" t="s">
        <v>1811</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904"/>
      <c r="Q21" s="1352" t="str">
        <f>B21</f>
        <v>基础设施水平</v>
      </c>
      <c r="R21" s="705" t="s">
        <v>14</v>
      </c>
      <c r="S21" s="706">
        <f>F21</f>
        <v>100</v>
      </c>
      <c r="T21" s="705" t="s">
        <v>14</v>
      </c>
      <c r="U21" s="706">
        <f>H21</f>
        <v>100</v>
      </c>
      <c r="V21" s="705" t="s">
        <v>14</v>
      </c>
      <c r="W21" s="706">
        <f>J21</f>
        <v>100</v>
      </c>
      <c r="X21" s="1355"/>
      <c r="Y21" s="390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904"/>
      <c r="Q22" s="1352"/>
      <c r="R22" s="705"/>
      <c r="S22" s="706"/>
      <c r="T22" s="705"/>
      <c r="U22" s="706"/>
      <c r="V22" s="705"/>
      <c r="W22" s="706"/>
      <c r="X22" s="1355"/>
      <c r="Y22" s="3904"/>
      <c r="Z22" s="1356"/>
      <c r="AA22" s="1353">
        <v>1</v>
      </c>
      <c r="AB22" s="1353">
        <v>1</v>
      </c>
      <c r="AC22" s="1353">
        <v>1</v>
      </c>
    </row>
    <row r="23" spans="1:29" ht="71.25">
      <c r="A23" s="379"/>
      <c r="B23" s="402" t="s">
        <v>1812</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904"/>
      <c r="Q23" s="1352" t="str">
        <f>B23</f>
        <v>环境质量</v>
      </c>
      <c r="R23" s="705" t="s">
        <v>14</v>
      </c>
      <c r="S23" s="706">
        <f>F23</f>
        <v>100</v>
      </c>
      <c r="T23" s="705" t="s">
        <v>14</v>
      </c>
      <c r="U23" s="706">
        <f>H23</f>
        <v>100</v>
      </c>
      <c r="V23" s="705" t="s">
        <v>14</v>
      </c>
      <c r="W23" s="706">
        <f>J23</f>
        <v>100</v>
      </c>
      <c r="X23" s="1355"/>
      <c r="Y23" s="3904"/>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904"/>
      <c r="Q24" s="1352"/>
      <c r="R24" s="705"/>
      <c r="S24" s="706"/>
      <c r="T24" s="705"/>
      <c r="U24" s="706"/>
      <c r="V24" s="705"/>
      <c r="W24" s="706"/>
      <c r="X24" s="1355"/>
      <c r="Y24" s="3904"/>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904"/>
      <c r="Q25" s="1352">
        <f>B25</f>
        <v>111</v>
      </c>
      <c r="R25" s="705" t="s">
        <v>14</v>
      </c>
      <c r="S25" s="706">
        <f>F25</f>
        <v>100</v>
      </c>
      <c r="T25" s="705" t="s">
        <v>14</v>
      </c>
      <c r="U25" s="706">
        <f>H25</f>
        <v>100</v>
      </c>
      <c r="V25" s="705" t="s">
        <v>14</v>
      </c>
      <c r="W25" s="706">
        <f>J25</f>
        <v>100</v>
      </c>
      <c r="X25" s="1355"/>
      <c r="Y25" s="3904"/>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904"/>
      <c r="Q26" s="1352">
        <f t="shared" ref="Q26:Q40" si="11">B26</f>
        <v>111</v>
      </c>
      <c r="R26" s="705" t="s">
        <v>14</v>
      </c>
      <c r="S26" s="706">
        <f>F26</f>
        <v>100</v>
      </c>
      <c r="T26" s="705" t="s">
        <v>14</v>
      </c>
      <c r="U26" s="706">
        <f>H26</f>
        <v>100</v>
      </c>
      <c r="V26" s="705" t="s">
        <v>14</v>
      </c>
      <c r="W26" s="706">
        <f>J26</f>
        <v>100</v>
      </c>
      <c r="X26" s="1355"/>
      <c r="Y26" s="3904"/>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904"/>
      <c r="Q27" s="1343">
        <f t="shared" si="11"/>
        <v>111</v>
      </c>
      <c r="R27" s="701" t="s">
        <v>14</v>
      </c>
      <c r="S27" s="702">
        <f>F27</f>
        <v>100</v>
      </c>
      <c r="T27" s="701" t="s">
        <v>14</v>
      </c>
      <c r="U27" s="702">
        <f>H27</f>
        <v>100</v>
      </c>
      <c r="V27" s="701" t="s">
        <v>14</v>
      </c>
      <c r="W27" s="702">
        <f>J27</f>
        <v>100</v>
      </c>
      <c r="X27" s="703"/>
      <c r="Y27" s="3904"/>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904"/>
      <c r="Q28" s="1352">
        <f t="shared" si="11"/>
        <v>111</v>
      </c>
      <c r="R28" s="705" t="s">
        <v>14</v>
      </c>
      <c r="S28" s="706">
        <f t="shared" ref="S28:S40" si="12">F28</f>
        <v>100</v>
      </c>
      <c r="T28" s="705" t="s">
        <v>14</v>
      </c>
      <c r="U28" s="706">
        <f t="shared" ref="U28:U40" si="13">H28</f>
        <v>100</v>
      </c>
      <c r="V28" s="705" t="s">
        <v>14</v>
      </c>
      <c r="W28" s="706">
        <f t="shared" ref="W28:W40" si="14">J28</f>
        <v>100</v>
      </c>
      <c r="X28" s="1355"/>
      <c r="Y28" s="3904"/>
      <c r="Z28" s="1356">
        <f t="shared" ref="Z28:Z40" si="15">Q28</f>
        <v>111</v>
      </c>
      <c r="AA28" s="1353">
        <f t="shared" si="3"/>
        <v>1</v>
      </c>
      <c r="AB28" s="1353">
        <f t="shared" si="4"/>
        <v>1</v>
      </c>
      <c r="AC28" s="1353">
        <f t="shared" si="5"/>
        <v>1</v>
      </c>
    </row>
    <row r="29" spans="1:29" ht="28.5">
      <c r="A29" s="417" t="s">
        <v>1692</v>
      </c>
      <c r="B29" s="63" t="s">
        <v>1815</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961" t="s">
        <v>1694</v>
      </c>
      <c r="Q29" s="1352" t="str">
        <f t="shared" si="11"/>
        <v>建筑类型</v>
      </c>
      <c r="R29" s="705" t="s">
        <v>14</v>
      </c>
      <c r="S29" s="706">
        <f t="shared" si="12"/>
        <v>100</v>
      </c>
      <c r="T29" s="705" t="s">
        <v>14</v>
      </c>
      <c r="U29" s="706">
        <f t="shared" si="13"/>
        <v>100</v>
      </c>
      <c r="V29" s="705" t="s">
        <v>14</v>
      </c>
      <c r="W29" s="706">
        <f t="shared" si="14"/>
        <v>100</v>
      </c>
      <c r="X29" s="1355"/>
      <c r="Y29" s="3908" t="s">
        <v>1694</v>
      </c>
      <c r="Z29" s="1356" t="str">
        <f t="shared" si="15"/>
        <v>建筑类型</v>
      </c>
      <c r="AA29" s="1353">
        <f t="shared" si="3"/>
        <v>1</v>
      </c>
      <c r="AB29" s="1353">
        <f t="shared" si="4"/>
        <v>1</v>
      </c>
      <c r="AC29" s="1353">
        <f t="shared" si="5"/>
        <v>1</v>
      </c>
    </row>
    <row r="30" spans="1:29" s="422" customFormat="1" ht="15">
      <c r="A30" s="419"/>
      <c r="B30" s="375" t="s">
        <v>1695</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908"/>
      <c r="Q30" s="707" t="str">
        <f t="shared" si="11"/>
        <v>项目建筑规模</v>
      </c>
      <c r="R30" s="708" t="s">
        <v>14</v>
      </c>
      <c r="S30" s="709" t="e">
        <f t="shared" si="12"/>
        <v>#N/A</v>
      </c>
      <c r="T30" s="708" t="s">
        <v>14</v>
      </c>
      <c r="U30" s="709" t="e">
        <f t="shared" si="13"/>
        <v>#N/A</v>
      </c>
      <c r="V30" s="708" t="s">
        <v>14</v>
      </c>
      <c r="W30" s="709" t="e">
        <f t="shared" si="14"/>
        <v>#N/A</v>
      </c>
      <c r="X30" s="710"/>
      <c r="Y30" s="3908"/>
      <c r="Z30" s="711" t="str">
        <f t="shared" si="15"/>
        <v>项目建筑规模</v>
      </c>
      <c r="AA30" s="1353" t="e">
        <f t="shared" si="3"/>
        <v>#N/A</v>
      </c>
      <c r="AB30" s="1353" t="e">
        <f t="shared" si="4"/>
        <v>#N/A</v>
      </c>
      <c r="AC30" s="1353" t="e">
        <f t="shared" si="5"/>
        <v>#N/A</v>
      </c>
    </row>
    <row r="31" spans="1:29" ht="15">
      <c r="A31" s="423"/>
      <c r="B31" s="375" t="s">
        <v>1696</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908"/>
      <c r="Q31" s="1352" t="str">
        <f t="shared" si="11"/>
        <v>建筑结构</v>
      </c>
      <c r="R31" s="705" t="s">
        <v>14</v>
      </c>
      <c r="S31" s="706">
        <f t="shared" si="12"/>
        <v>100</v>
      </c>
      <c r="T31" s="705" t="s">
        <v>14</v>
      </c>
      <c r="U31" s="706">
        <f t="shared" si="13"/>
        <v>100</v>
      </c>
      <c r="V31" s="705" t="s">
        <v>14</v>
      </c>
      <c r="W31" s="706">
        <f t="shared" si="14"/>
        <v>100</v>
      </c>
      <c r="X31" s="1355"/>
      <c r="Y31" s="3908"/>
      <c r="Z31" s="1356" t="str">
        <f t="shared" si="15"/>
        <v>建筑结构</v>
      </c>
      <c r="AA31" s="1353">
        <f t="shared" si="3"/>
        <v>1</v>
      </c>
      <c r="AB31" s="1353">
        <f t="shared" si="4"/>
        <v>1</v>
      </c>
      <c r="AC31" s="1353">
        <f t="shared" si="5"/>
        <v>1</v>
      </c>
    </row>
    <row r="32" spans="1:29" ht="15">
      <c r="A32" s="423"/>
      <c r="B32" s="375" t="s">
        <v>1783</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908"/>
      <c r="Q32" s="1352" t="str">
        <f t="shared" si="11"/>
        <v>公共部分装修</v>
      </c>
      <c r="R32" s="705" t="s">
        <v>14</v>
      </c>
      <c r="S32" s="706">
        <f t="shared" si="12"/>
        <v>100</v>
      </c>
      <c r="T32" s="705" t="s">
        <v>14</v>
      </c>
      <c r="U32" s="706">
        <f t="shared" si="13"/>
        <v>100</v>
      </c>
      <c r="V32" s="705" t="s">
        <v>14</v>
      </c>
      <c r="W32" s="706">
        <f t="shared" si="14"/>
        <v>100</v>
      </c>
      <c r="X32" s="1355"/>
      <c r="Y32" s="3908"/>
      <c r="Z32" s="1356" t="str">
        <f t="shared" si="15"/>
        <v>公共部分装修</v>
      </c>
      <c r="AA32" s="1353">
        <f t="shared" si="3"/>
        <v>1</v>
      </c>
      <c r="AB32" s="1353">
        <f t="shared" si="4"/>
        <v>1</v>
      </c>
      <c r="AC32" s="1353">
        <f t="shared" si="5"/>
        <v>1</v>
      </c>
    </row>
    <row r="33" spans="1:29" ht="15">
      <c r="A33" s="423"/>
      <c r="B33" s="375" t="s">
        <v>1784</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908"/>
      <c r="Q33" s="1352" t="str">
        <f t="shared" si="11"/>
        <v>成新度</v>
      </c>
      <c r="R33" s="705" t="s">
        <v>14</v>
      </c>
      <c r="S33" s="706" t="e">
        <f t="shared" si="12"/>
        <v>#N/A</v>
      </c>
      <c r="T33" s="705" t="s">
        <v>14</v>
      </c>
      <c r="U33" s="706" t="e">
        <f t="shared" si="13"/>
        <v>#N/A</v>
      </c>
      <c r="V33" s="705" t="s">
        <v>14</v>
      </c>
      <c r="W33" s="706" t="e">
        <f t="shared" si="14"/>
        <v>#N/A</v>
      </c>
      <c r="X33" s="1355"/>
      <c r="Y33" s="3908"/>
      <c r="Z33" s="1356" t="str">
        <f t="shared" si="15"/>
        <v>成新度</v>
      </c>
      <c r="AA33" s="1353" t="e">
        <f t="shared" si="3"/>
        <v>#N/A</v>
      </c>
      <c r="AB33" s="1353" t="e">
        <f t="shared" si="4"/>
        <v>#N/A</v>
      </c>
      <c r="AC33" s="1353" t="e">
        <f t="shared" si="5"/>
        <v>#N/A</v>
      </c>
    </row>
    <row r="34" spans="1:29" s="108" customFormat="1" ht="15">
      <c r="A34" s="424"/>
      <c r="B34" s="375" t="s">
        <v>1817</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908"/>
      <c r="Q34" s="1343" t="str">
        <f t="shared" si="11"/>
        <v>物业管理</v>
      </c>
      <c r="R34" s="701" t="s">
        <v>14</v>
      </c>
      <c r="S34" s="702">
        <f t="shared" si="12"/>
        <v>100</v>
      </c>
      <c r="T34" s="701" t="s">
        <v>14</v>
      </c>
      <c r="U34" s="702">
        <f t="shared" si="13"/>
        <v>100</v>
      </c>
      <c r="V34" s="701" t="s">
        <v>14</v>
      </c>
      <c r="W34" s="702">
        <f t="shared" si="14"/>
        <v>100</v>
      </c>
      <c r="X34" s="703"/>
      <c r="Y34" s="3908"/>
      <c r="Z34" s="52" t="str">
        <f t="shared" si="15"/>
        <v>物业管理</v>
      </c>
      <c r="AA34" s="704">
        <f t="shared" si="3"/>
        <v>1</v>
      </c>
      <c r="AB34" s="704">
        <f t="shared" si="4"/>
        <v>1</v>
      </c>
      <c r="AC34" s="704">
        <f t="shared" si="5"/>
        <v>1</v>
      </c>
    </row>
    <row r="35" spans="1:29" ht="15">
      <c r="A35" s="423"/>
      <c r="B35" s="375" t="s">
        <v>1785</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908" t="s">
        <v>1694</v>
      </c>
      <c r="Q35" s="1352" t="str">
        <f t="shared" si="11"/>
        <v>市政基础设施</v>
      </c>
      <c r="R35" s="705" t="s">
        <v>14</v>
      </c>
      <c r="S35" s="706">
        <f t="shared" si="12"/>
        <v>100</v>
      </c>
      <c r="T35" s="705" t="s">
        <v>14</v>
      </c>
      <c r="U35" s="706">
        <f t="shared" si="13"/>
        <v>100</v>
      </c>
      <c r="V35" s="705" t="s">
        <v>14</v>
      </c>
      <c r="W35" s="706">
        <f t="shared" si="14"/>
        <v>100</v>
      </c>
      <c r="X35" s="1355"/>
      <c r="Y35" s="3908" t="s">
        <v>1694</v>
      </c>
      <c r="Z35" s="1356" t="str">
        <f t="shared" si="15"/>
        <v>市政基础设施</v>
      </c>
      <c r="AA35" s="1353">
        <f t="shared" si="3"/>
        <v>1</v>
      </c>
      <c r="AB35" s="1353">
        <f t="shared" si="4"/>
        <v>1</v>
      </c>
      <c r="AC35" s="1353">
        <f t="shared" si="5"/>
        <v>1</v>
      </c>
    </row>
    <row r="36" spans="1:29" ht="15">
      <c r="A36" s="423"/>
      <c r="B36" s="375" t="s">
        <v>1790</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908"/>
      <c r="Q36" s="1352" t="str">
        <f t="shared" si="11"/>
        <v>内部装修</v>
      </c>
      <c r="R36" s="705" t="s">
        <v>14</v>
      </c>
      <c r="S36" s="706">
        <f t="shared" si="12"/>
        <v>100</v>
      </c>
      <c r="T36" s="705" t="s">
        <v>14</v>
      </c>
      <c r="U36" s="706">
        <f t="shared" si="13"/>
        <v>100</v>
      </c>
      <c r="V36" s="705" t="s">
        <v>14</v>
      </c>
      <c r="W36" s="706">
        <f t="shared" si="14"/>
        <v>100</v>
      </c>
      <c r="X36" s="1355"/>
      <c r="Y36" s="3908"/>
      <c r="Z36" s="1356" t="str">
        <f t="shared" si="15"/>
        <v>内部装修</v>
      </c>
      <c r="AA36" s="1353">
        <f t="shared" si="3"/>
        <v>1</v>
      </c>
      <c r="AB36" s="1353">
        <f t="shared" si="4"/>
        <v>1</v>
      </c>
      <c r="AC36" s="1353">
        <f t="shared" si="5"/>
        <v>1</v>
      </c>
    </row>
    <row r="37" spans="1:29" ht="15">
      <c r="A37" s="423"/>
      <c r="B37" s="375" t="s">
        <v>1826</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908"/>
      <c r="Q37" s="1352" t="str">
        <f t="shared" si="11"/>
        <v>内部装修状况</v>
      </c>
      <c r="R37" s="705" t="s">
        <v>14</v>
      </c>
      <c r="S37" s="706">
        <f t="shared" si="12"/>
        <v>100</v>
      </c>
      <c r="T37" s="705" t="s">
        <v>14</v>
      </c>
      <c r="U37" s="706">
        <f t="shared" si="13"/>
        <v>100</v>
      </c>
      <c r="V37" s="705" t="s">
        <v>14</v>
      </c>
      <c r="W37" s="706">
        <f t="shared" si="14"/>
        <v>100</v>
      </c>
      <c r="X37" s="1355"/>
      <c r="Y37" s="3908"/>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908"/>
      <c r="Q38" s="707">
        <f t="shared" si="11"/>
        <v>111</v>
      </c>
      <c r="R38" s="708" t="s">
        <v>14</v>
      </c>
      <c r="S38" s="709">
        <f t="shared" si="12"/>
        <v>100</v>
      </c>
      <c r="T38" s="708" t="s">
        <v>14</v>
      </c>
      <c r="U38" s="709">
        <f t="shared" si="13"/>
        <v>100</v>
      </c>
      <c r="V38" s="708" t="s">
        <v>14</v>
      </c>
      <c r="W38" s="709">
        <f t="shared" si="14"/>
        <v>100</v>
      </c>
      <c r="X38" s="710"/>
      <c r="Y38" s="3908"/>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908"/>
      <c r="Q39" s="1352">
        <f t="shared" si="11"/>
        <v>111</v>
      </c>
      <c r="R39" s="705" t="s">
        <v>14</v>
      </c>
      <c r="S39" s="706">
        <f t="shared" si="12"/>
        <v>100</v>
      </c>
      <c r="T39" s="705" t="s">
        <v>14</v>
      </c>
      <c r="U39" s="706">
        <f t="shared" si="13"/>
        <v>100</v>
      </c>
      <c r="V39" s="705" t="s">
        <v>14</v>
      </c>
      <c r="W39" s="706">
        <f t="shared" si="14"/>
        <v>100</v>
      </c>
      <c r="X39" s="1355"/>
      <c r="Y39" s="3908"/>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909"/>
      <c r="Q40" s="1352">
        <f t="shared" si="11"/>
        <v>111</v>
      </c>
      <c r="R40" s="705" t="s">
        <v>14</v>
      </c>
      <c r="S40" s="706">
        <f t="shared" si="12"/>
        <v>100</v>
      </c>
      <c r="T40" s="705" t="s">
        <v>14</v>
      </c>
      <c r="U40" s="706">
        <f t="shared" si="13"/>
        <v>100</v>
      </c>
      <c r="V40" s="705" t="s">
        <v>14</v>
      </c>
      <c r="W40" s="706">
        <f t="shared" si="14"/>
        <v>100</v>
      </c>
      <c r="X40" s="1355"/>
      <c r="Y40" s="3909"/>
      <c r="Z40" s="1356">
        <f t="shared" si="15"/>
        <v>111</v>
      </c>
      <c r="AA40" s="1353">
        <f t="shared" si="3"/>
        <v>1</v>
      </c>
      <c r="AB40" s="1353">
        <f t="shared" si="4"/>
        <v>1</v>
      </c>
      <c r="AC40" s="1353">
        <f t="shared" si="5"/>
        <v>1</v>
      </c>
    </row>
    <row r="41" spans="1:29" ht="15">
      <c r="A41" s="430" t="s">
        <v>1706</v>
      </c>
      <c r="B41" s="431"/>
      <c r="C41" s="1154" t="s">
        <v>0</v>
      </c>
      <c r="D41" s="1155"/>
      <c r="E41" s="1156"/>
      <c r="F41" s="1157"/>
      <c r="G41" s="1158"/>
      <c r="H41" s="1159"/>
      <c r="I41" s="1156"/>
      <c r="J41" s="1159"/>
      <c r="K41" s="714"/>
      <c r="L41" s="926"/>
      <c r="M41" s="927"/>
      <c r="N41" s="914"/>
      <c r="O41" s="927"/>
      <c r="P41" s="3901" t="str">
        <f>A41</f>
        <v>成交单价（元/平方米）</v>
      </c>
      <c r="Q41" s="3901"/>
      <c r="R41" s="3902">
        <f>E41</f>
        <v>0</v>
      </c>
      <c r="S41" s="3902"/>
      <c r="T41" s="3902">
        <f>G41</f>
        <v>0</v>
      </c>
      <c r="U41" s="3902"/>
      <c r="V41" s="3902">
        <f>I41</f>
        <v>0</v>
      </c>
      <c r="W41" s="3902"/>
      <c r="X41" s="690"/>
      <c r="Y41" s="712"/>
      <c r="Z41" s="690"/>
      <c r="AA41" s="690"/>
      <c r="AB41" s="690"/>
      <c r="AC41" s="690"/>
    </row>
    <row r="42" spans="1:29" ht="15.75" thickBot="1">
      <c r="A42" s="437" t="s">
        <v>1791</v>
      </c>
      <c r="B42" s="438"/>
      <c r="C42" s="1160" t="e">
        <f>R43</f>
        <v>#DIV/0!</v>
      </c>
      <c r="D42" s="2317" t="s">
        <v>2135</v>
      </c>
      <c r="E42" s="1161" t="e">
        <f>R42</f>
        <v>#DIV/0!</v>
      </c>
      <c r="F42" s="2318"/>
      <c r="G42" s="1160" t="e">
        <f>T42</f>
        <v>#DIV/0!</v>
      </c>
      <c r="H42" s="2318"/>
      <c r="I42" s="1161" t="e">
        <f>V42</f>
        <v>#DIV/0!</v>
      </c>
      <c r="J42" s="2318"/>
      <c r="K42" s="2320">
        <f>F42+H42+J42</f>
        <v>0</v>
      </c>
      <c r="L42" s="926"/>
      <c r="M42" s="927"/>
      <c r="N42" s="914"/>
      <c r="O42" s="927"/>
      <c r="P42" s="3901" t="str">
        <f>A42</f>
        <v>比较价值（元/平方米）</v>
      </c>
      <c r="Q42" s="3901"/>
      <c r="R42" s="3902" t="e">
        <f>IF(F1="售价",ROUND(PRODUCT(R41,AA7:AA40),0),ROUND(PRODUCT(R41,AA7:AA40),1))</f>
        <v>#DIV/0!</v>
      </c>
      <c r="S42" s="3902"/>
      <c r="T42" s="3902" t="e">
        <f>IF(F1="售价",ROUND(PRODUCT(T41,AB7:AB40),0),ROUND(PRODUCT(T41,AB7:AB40),1))</f>
        <v>#DIV/0!</v>
      </c>
      <c r="U42" s="3902"/>
      <c r="V42" s="3902" t="e">
        <f>IF(F1="售价",ROUND(PRODUCT(V41,AC7:AC40),0),ROUND(PRODUCT(V41,AC7:AC40),1))</f>
        <v>#DIV/0!</v>
      </c>
      <c r="W42" s="3902"/>
      <c r="X42" s="690"/>
      <c r="Y42" s="690"/>
      <c r="Z42" s="690"/>
      <c r="AA42" s="690"/>
      <c r="AB42" s="690"/>
      <c r="AC42" s="690"/>
    </row>
    <row r="43" spans="1:29" ht="15.75" thickBot="1">
      <c r="A43" s="441" t="s">
        <v>1792</v>
      </c>
      <c r="B43" s="442"/>
      <c r="C43" s="1163" t="e">
        <f>R43</f>
        <v>#DIV/0!</v>
      </c>
      <c r="D43" s="1163"/>
      <c r="E43" s="1163"/>
      <c r="F43" s="1163"/>
      <c r="G43" s="1163"/>
      <c r="H43" s="1163"/>
      <c r="I43" s="1163"/>
      <c r="J43" s="1163"/>
      <c r="K43" s="715"/>
      <c r="L43" s="926"/>
      <c r="M43" s="927"/>
      <c r="N43" s="927"/>
      <c r="O43" s="927"/>
      <c r="P43" s="3898" t="str">
        <f>A43</f>
        <v>估价对象XX用房的比较价值（楼面单价，元/平方米）</v>
      </c>
      <c r="Q43" s="3899"/>
      <c r="R43" s="3900" t="e">
        <f>IF(F1="售价",ROUND(IF(D42="简单平均",AVERAGE(R42:V42),R42*F42+T42*H42+V42*J42),0),ROUND(IF(D42="简单平均",AVERAGE(R42:V42),R42*F42+T42*H42+V42*J42),1))</f>
        <v>#DIV/0!</v>
      </c>
      <c r="S43" s="3900"/>
      <c r="T43" s="3900"/>
      <c r="U43" s="3900"/>
      <c r="V43" s="3900"/>
      <c r="W43" s="3900"/>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1793</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1794</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1795</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1796</v>
      </c>
      <c r="B51" s="690"/>
      <c r="C51" s="695"/>
      <c r="D51" s="695"/>
      <c r="E51" s="695"/>
      <c r="F51" s="696"/>
      <c r="G51" s="696"/>
      <c r="H51" s="695"/>
      <c r="I51" s="695"/>
      <c r="J51" s="695"/>
      <c r="K51" s="941"/>
      <c r="L51" s="942"/>
      <c r="M51" s="940"/>
      <c r="N51" s="940"/>
      <c r="O51" s="940"/>
      <c r="P51" s="452"/>
      <c r="Q51" s="453"/>
    </row>
    <row r="52" spans="1:17" s="457" customFormat="1" ht="15">
      <c r="A52" s="454" t="s">
        <v>1677</v>
      </c>
      <c r="B52" s="455"/>
      <c r="C52" s="1184" t="str">
        <f>YEAR(C7)&amp;"-"&amp;MONTH(C7)</f>
        <v>2024-4</v>
      </c>
      <c r="D52" s="1185">
        <f>EDATE(C52,-1)</f>
        <v>45352</v>
      </c>
      <c r="E52" s="1185">
        <f t="shared" ref="E52:O52" si="16">EDATE(D52,-1)</f>
        <v>45323</v>
      </c>
      <c r="F52" s="1185">
        <f t="shared" si="16"/>
        <v>45292</v>
      </c>
      <c r="G52" s="1185">
        <f t="shared" si="16"/>
        <v>45261</v>
      </c>
      <c r="H52" s="1185">
        <f t="shared" si="16"/>
        <v>45231</v>
      </c>
      <c r="I52" s="1185">
        <f t="shared" si="16"/>
        <v>45200</v>
      </c>
      <c r="J52" s="1185">
        <f t="shared" si="16"/>
        <v>45170</v>
      </c>
      <c r="K52" s="1185">
        <f t="shared" si="16"/>
        <v>45139</v>
      </c>
      <c r="L52" s="1185">
        <f t="shared" si="16"/>
        <v>45108</v>
      </c>
      <c r="M52" s="1185">
        <f t="shared" si="16"/>
        <v>45078</v>
      </c>
      <c r="N52" s="1185">
        <f t="shared" si="16"/>
        <v>45047</v>
      </c>
      <c r="O52" s="1185">
        <f t="shared" si="16"/>
        <v>45017</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1714</v>
      </c>
      <c r="B54" s="465"/>
      <c r="C54" s="466"/>
      <c r="D54" s="467"/>
      <c r="E54" s="467"/>
      <c r="F54" s="467"/>
      <c r="G54" s="467"/>
      <c r="H54" s="467"/>
      <c r="I54" s="467"/>
      <c r="J54" s="467"/>
      <c r="K54" s="467"/>
      <c r="L54" s="467"/>
      <c r="M54" s="468"/>
      <c r="N54" s="2770"/>
      <c r="O54" s="2771"/>
      <c r="P54" s="453"/>
      <c r="Q54" s="453"/>
    </row>
    <row r="55" spans="1:17" s="108" customFormat="1" ht="15">
      <c r="A55" s="470" t="s">
        <v>1679</v>
      </c>
      <c r="B55" s="459"/>
      <c r="C55" s="471" t="s">
        <v>1774</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1717</v>
      </c>
      <c r="B57" s="477" t="s">
        <v>1683</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1686</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1687</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1688</v>
      </c>
      <c r="B70" s="477" t="s">
        <v>1827</v>
      </c>
      <c r="C70" s="522" t="s">
        <v>1719</v>
      </c>
      <c r="D70" s="522" t="s">
        <v>1720</v>
      </c>
      <c r="E70" s="522" t="s">
        <v>1721</v>
      </c>
      <c r="F70" s="522" t="s">
        <v>1722</v>
      </c>
      <c r="G70" s="522" t="s">
        <v>1723</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1724</v>
      </c>
      <c r="C72" s="527" t="s">
        <v>1719</v>
      </c>
      <c r="D72" s="527" t="s">
        <v>1720</v>
      </c>
      <c r="E72" s="527" t="s">
        <v>1721</v>
      </c>
      <c r="F72" s="527" t="s">
        <v>1722</v>
      </c>
      <c r="G72" s="527" t="s">
        <v>1723</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1725</v>
      </c>
      <c r="C74" s="527" t="s">
        <v>1719</v>
      </c>
      <c r="D74" s="527" t="s">
        <v>1720</v>
      </c>
      <c r="E74" s="527" t="s">
        <v>1721</v>
      </c>
      <c r="F74" s="527" t="s">
        <v>1722</v>
      </c>
      <c r="G74" s="527" t="s">
        <v>1723</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1811</v>
      </c>
      <c r="C76" s="608" t="s">
        <v>1797</v>
      </c>
      <c r="D76" s="608" t="s">
        <v>1798</v>
      </c>
      <c r="E76" s="608" t="s">
        <v>1799</v>
      </c>
      <c r="F76" s="608" t="s">
        <v>1800</v>
      </c>
      <c r="G76" s="608" t="s">
        <v>1801</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1820</v>
      </c>
      <c r="C78" s="527" t="s">
        <v>1719</v>
      </c>
      <c r="D78" s="527" t="s">
        <v>1720</v>
      </c>
      <c r="E78" s="527" t="s">
        <v>1721</v>
      </c>
      <c r="F78" s="527" t="s">
        <v>1722</v>
      </c>
      <c r="G78" s="527" t="s">
        <v>1723</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1692</v>
      </c>
      <c r="B88" s="477" t="s">
        <v>1734</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1735</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1736</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1738</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1739</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1740</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1742</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1828</v>
      </c>
      <c r="C106" s="527" t="s">
        <v>1719</v>
      </c>
      <c r="D106" s="527" t="s">
        <v>1720</v>
      </c>
      <c r="E106" s="527" t="s">
        <v>1721</v>
      </c>
      <c r="F106" s="527" t="s">
        <v>1722</v>
      </c>
      <c r="G106" s="527" t="s">
        <v>1723</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2" priority="20" stopIfTrue="1" operator="containsText" text="超过">
      <formula>NOT(ISERROR(SEARCH("超过",F46)))</formula>
    </cfRule>
  </conditionalFormatting>
  <conditionalFormatting sqref="H48">
    <cfRule type="containsText" dxfId="111" priority="19" stopIfTrue="1" operator="containsText" text="超过">
      <formula>NOT(ISERROR(SEARCH("超过",H48)))</formula>
    </cfRule>
  </conditionalFormatting>
  <conditionalFormatting sqref="F48">
    <cfRule type="containsText" dxfId="110" priority="18" stopIfTrue="1" operator="containsText" text="超过">
      <formula>NOT(ISERROR(SEARCH("超过",F48)))</formula>
    </cfRule>
  </conditionalFormatting>
  <conditionalFormatting sqref="F47 H47">
    <cfRule type="containsText" dxfId="109" priority="17" stopIfTrue="1" operator="containsText" text="超过">
      <formula>NOT(ISERROR(SEARCH("超过",F47)))</formula>
    </cfRule>
  </conditionalFormatting>
  <conditionalFormatting sqref="E46">
    <cfRule type="expression" dxfId="108" priority="16" stopIfTrue="1">
      <formula>$F$46="超过30%"</formula>
    </cfRule>
  </conditionalFormatting>
  <conditionalFormatting sqref="E47">
    <cfRule type="expression" dxfId="107" priority="15" stopIfTrue="1">
      <formula>$F$47="超过20%"</formula>
    </cfRule>
  </conditionalFormatting>
  <conditionalFormatting sqref="E48">
    <cfRule type="expression" dxfId="106" priority="14" stopIfTrue="1">
      <formula>$F$48="超过30%"</formula>
    </cfRule>
  </conditionalFormatting>
  <conditionalFormatting sqref="G48">
    <cfRule type="expression" dxfId="105" priority="13" stopIfTrue="1">
      <formula>$H$48="超过30%"</formula>
    </cfRule>
  </conditionalFormatting>
  <conditionalFormatting sqref="G46">
    <cfRule type="expression" dxfId="104" priority="12" stopIfTrue="1">
      <formula>$H$46="超过30%"</formula>
    </cfRule>
  </conditionalFormatting>
  <conditionalFormatting sqref="G47">
    <cfRule type="expression" dxfId="103" priority="11" stopIfTrue="1">
      <formula>$H$47="超过20%"</formula>
    </cfRule>
  </conditionalFormatting>
  <conditionalFormatting sqref="J46">
    <cfRule type="containsText" dxfId="102" priority="10" stopIfTrue="1" operator="containsText" text="超过">
      <formula>NOT(ISERROR(SEARCH("超过",J46)))</formula>
    </cfRule>
  </conditionalFormatting>
  <conditionalFormatting sqref="J48">
    <cfRule type="containsText" dxfId="101" priority="9" stopIfTrue="1" operator="containsText" text="超过">
      <formula>NOT(ISERROR(SEARCH("超过",J48)))</formula>
    </cfRule>
  </conditionalFormatting>
  <conditionalFormatting sqref="J47">
    <cfRule type="containsText" dxfId="100" priority="8" stopIfTrue="1" operator="containsText" text="超过">
      <formula>NOT(ISERROR(SEARCH("超过",J47)))</formula>
    </cfRule>
  </conditionalFormatting>
  <conditionalFormatting sqref="I46">
    <cfRule type="expression" dxfId="99" priority="7" stopIfTrue="1">
      <formula>$J$46="超过30%"</formula>
    </cfRule>
  </conditionalFormatting>
  <conditionalFormatting sqref="I47">
    <cfRule type="expression" dxfId="98" priority="6" stopIfTrue="1">
      <formula>$J$47="超过20%"</formula>
    </cfRule>
  </conditionalFormatting>
  <conditionalFormatting sqref="I48">
    <cfRule type="expression" dxfId="97" priority="5" stopIfTrue="1">
      <formula>$J$48="超过30%"</formula>
    </cfRule>
  </conditionalFormatting>
  <conditionalFormatting sqref="F42">
    <cfRule type="expression" dxfId="96" priority="4">
      <formula>$D$42="简单平均"</formula>
    </cfRule>
  </conditionalFormatting>
  <conditionalFormatting sqref="H42">
    <cfRule type="expression" dxfId="95" priority="3">
      <formula>$D$42="简单平均"</formula>
    </cfRule>
  </conditionalFormatting>
  <conditionalFormatting sqref="J42">
    <cfRule type="expression" dxfId="94" priority="2">
      <formula>$D$42="简单平均"</formula>
    </cfRule>
  </conditionalFormatting>
  <conditionalFormatting sqref="F7:F40 H7:H40 J7:J40">
    <cfRule type="cellIs" dxfId="9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1829</v>
      </c>
      <c r="B1" s="1223" t="s">
        <v>3334</v>
      </c>
      <c r="C1" s="1224" t="s">
        <v>1660</v>
      </c>
      <c r="D1" s="1225"/>
      <c r="E1" s="3433"/>
      <c r="F1" s="1879"/>
      <c r="G1" s="1227" t="s">
        <v>1765</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1460</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1461</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1462</v>
      </c>
      <c r="B3" s="558" t="e">
        <f>IF(AND(C2="——",B37="元/平方米"),C39,ROUND(B2*10000/D3,0))</f>
        <v>#DIV/0!</v>
      </c>
      <c r="C3" s="354" t="s">
        <v>1766</v>
      </c>
      <c r="D3" s="353">
        <f>SUMIF('数据-汇总表'!$C19:$C33,D1,'数据-汇总表'!$E19:$E33)</f>
        <v>0</v>
      </c>
      <c r="E3" s="354" t="s">
        <v>1830</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1767</v>
      </c>
      <c r="B4" s="356"/>
      <c r="C4" s="3916" t="s">
        <v>1768</v>
      </c>
      <c r="D4" s="3917"/>
      <c r="E4" s="3918" t="s">
        <v>1769</v>
      </c>
      <c r="F4" s="3919"/>
      <c r="G4" s="3916" t="s">
        <v>1770</v>
      </c>
      <c r="H4" s="3917"/>
      <c r="I4" s="3916" t="s">
        <v>1771</v>
      </c>
      <c r="J4" s="3917"/>
      <c r="K4" s="559" t="s">
        <v>1772</v>
      </c>
      <c r="L4" s="2715"/>
      <c r="M4" s="2716"/>
      <c r="N4" s="2716"/>
      <c r="O4" s="2716"/>
      <c r="P4" s="3920" t="s">
        <v>1773</v>
      </c>
      <c r="Q4" s="3921"/>
      <c r="R4" s="3926" t="s">
        <v>1769</v>
      </c>
      <c r="S4" s="3927"/>
      <c r="T4" s="3926" t="s">
        <v>1770</v>
      </c>
      <c r="U4" s="3927"/>
      <c r="V4" s="3932" t="s">
        <v>1771</v>
      </c>
      <c r="W4" s="3932"/>
      <c r="X4" s="1355"/>
      <c r="Y4" s="3926" t="s">
        <v>1773</v>
      </c>
      <c r="Z4" s="3927"/>
      <c r="AA4" s="3913" t="s">
        <v>1769</v>
      </c>
      <c r="AB4" s="3914" t="s">
        <v>1770</v>
      </c>
      <c r="AC4" s="3913" t="s">
        <v>1771</v>
      </c>
    </row>
    <row r="5" spans="1:29" ht="15">
      <c r="A5" s="358"/>
      <c r="B5" s="359"/>
      <c r="C5" s="3935" t="s">
        <v>1671</v>
      </c>
      <c r="D5" s="3936"/>
      <c r="E5" s="3942" t="s">
        <v>1672</v>
      </c>
      <c r="F5" s="3943"/>
      <c r="G5" s="3935" t="s">
        <v>1673</v>
      </c>
      <c r="H5" s="3936"/>
      <c r="I5" s="3935" t="s">
        <v>1674</v>
      </c>
      <c r="J5" s="3936"/>
      <c r="K5" s="559"/>
      <c r="L5" s="2715"/>
      <c r="M5" s="2716"/>
      <c r="N5" s="2716"/>
      <c r="O5" s="2716"/>
      <c r="P5" s="3922"/>
      <c r="Q5" s="3923"/>
      <c r="R5" s="3928"/>
      <c r="S5" s="3929"/>
      <c r="T5" s="3928"/>
      <c r="U5" s="3929"/>
      <c r="V5" s="3932"/>
      <c r="W5" s="3932"/>
      <c r="X5" s="1355"/>
      <c r="Y5" s="3928"/>
      <c r="Z5" s="3929"/>
      <c r="AA5" s="3914"/>
      <c r="AB5" s="3914"/>
      <c r="AC5" s="3914"/>
    </row>
    <row r="6" spans="1:29" ht="15.75" thickBot="1">
      <c r="A6" s="360"/>
      <c r="B6" s="361"/>
      <c r="C6" s="3933" t="s">
        <v>1675</v>
      </c>
      <c r="D6" s="3934"/>
      <c r="E6" s="3940" t="s">
        <v>1675</v>
      </c>
      <c r="F6" s="3941"/>
      <c r="G6" s="3933" t="s">
        <v>1675</v>
      </c>
      <c r="H6" s="3934"/>
      <c r="I6" s="3933" t="s">
        <v>1675</v>
      </c>
      <c r="J6" s="3934"/>
      <c r="K6" s="559" t="s">
        <v>1676</v>
      </c>
      <c r="L6" s="2715"/>
      <c r="M6" s="2716"/>
      <c r="N6" s="2716"/>
      <c r="O6" s="2716"/>
      <c r="P6" s="3924"/>
      <c r="Q6" s="3925"/>
      <c r="R6" s="3928"/>
      <c r="S6" s="3929"/>
      <c r="T6" s="3930"/>
      <c r="U6" s="3931"/>
      <c r="V6" s="3932"/>
      <c r="W6" s="3932"/>
      <c r="X6" s="1355"/>
      <c r="Y6" s="3930"/>
      <c r="Z6" s="3931"/>
      <c r="AA6" s="3915"/>
      <c r="AB6" s="3915"/>
      <c r="AC6" s="3915"/>
    </row>
    <row r="7" spans="1:29" s="108" customFormat="1" ht="15.75" thickBot="1">
      <c r="A7" s="362" t="s">
        <v>1677</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717"/>
      <c r="M7" s="2718"/>
      <c r="N7" s="2718"/>
      <c r="O7" s="2718"/>
      <c r="P7" s="3937" t="s">
        <v>1678</v>
      </c>
      <c r="Q7" s="3939"/>
      <c r="R7" s="701" t="s">
        <v>14</v>
      </c>
      <c r="S7" s="702">
        <f t="shared" ref="S7:S14" si="0">F7</f>
        <v>0</v>
      </c>
      <c r="T7" s="701" t="s">
        <v>14</v>
      </c>
      <c r="U7" s="702">
        <f t="shared" ref="U7:U14" si="1">H7</f>
        <v>0</v>
      </c>
      <c r="V7" s="701" t="s">
        <v>14</v>
      </c>
      <c r="W7" s="702">
        <f t="shared" ref="W7:W14" si="2">J7</f>
        <v>0</v>
      </c>
      <c r="X7" s="703"/>
      <c r="Y7" s="3937" t="s">
        <v>1678</v>
      </c>
      <c r="Z7" s="3938"/>
      <c r="AA7" s="704" t="e">
        <f>D7/F7</f>
        <v>#DIV/0!</v>
      </c>
      <c r="AB7" s="704" t="e">
        <f>D7/H7</f>
        <v>#DIV/0!</v>
      </c>
      <c r="AC7" s="704" t="e">
        <f>D7/J7</f>
        <v>#DIV/0!</v>
      </c>
    </row>
    <row r="8" spans="1:29" s="108" customFormat="1" ht="15.75" thickBot="1">
      <c r="A8" s="362" t="s">
        <v>1679</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937" t="s">
        <v>1681</v>
      </c>
      <c r="Q8" s="3938"/>
      <c r="R8" s="701" t="s">
        <v>14</v>
      </c>
      <c r="S8" s="702">
        <f t="shared" si="0"/>
        <v>100</v>
      </c>
      <c r="T8" s="701" t="s">
        <v>14</v>
      </c>
      <c r="U8" s="702">
        <f t="shared" si="1"/>
        <v>100</v>
      </c>
      <c r="V8" s="701" t="s">
        <v>14</v>
      </c>
      <c r="W8" s="702">
        <f t="shared" si="2"/>
        <v>100</v>
      </c>
      <c r="X8" s="703"/>
      <c r="Y8" s="3937" t="s">
        <v>1681</v>
      </c>
      <c r="Z8" s="3938"/>
      <c r="AA8" s="704">
        <f t="shared" ref="AA8:AA36" si="3">D8/F8</f>
        <v>1</v>
      </c>
      <c r="AB8" s="704">
        <f t="shared" ref="AB8:AB36" si="4">D8/H8</f>
        <v>1</v>
      </c>
      <c r="AC8" s="704">
        <f t="shared" ref="AC8:AC36" si="5">D8/J8</f>
        <v>1</v>
      </c>
    </row>
    <row r="9" spans="1:29" s="108" customFormat="1">
      <c r="A9" s="60" t="s">
        <v>1682</v>
      </c>
      <c r="B9" s="588" t="s">
        <v>1683</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901" t="s">
        <v>1684</v>
      </c>
      <c r="Q9" s="1343" t="str">
        <f t="shared" ref="Q9:Q14" si="6">B9</f>
        <v>用途</v>
      </c>
      <c r="R9" s="701" t="s">
        <v>14</v>
      </c>
      <c r="S9" s="702">
        <f t="shared" si="0"/>
        <v>100</v>
      </c>
      <c r="T9" s="701" t="s">
        <v>14</v>
      </c>
      <c r="U9" s="702">
        <f t="shared" si="1"/>
        <v>100</v>
      </c>
      <c r="V9" s="701" t="s">
        <v>14</v>
      </c>
      <c r="W9" s="702">
        <f t="shared" si="2"/>
        <v>100</v>
      </c>
      <c r="X9" s="703"/>
      <c r="Y9" s="3757" t="s">
        <v>1685</v>
      </c>
      <c r="Z9" s="52" t="str">
        <f t="shared" ref="Z9:Z14" si="7">Q9</f>
        <v>用途</v>
      </c>
      <c r="AA9" s="704">
        <f t="shared" si="3"/>
        <v>1</v>
      </c>
      <c r="AB9" s="704">
        <f t="shared" si="4"/>
        <v>1</v>
      </c>
      <c r="AC9" s="704">
        <f t="shared" si="5"/>
        <v>1</v>
      </c>
    </row>
    <row r="10" spans="1:29" s="378" customFormat="1" ht="27">
      <c r="A10" s="589"/>
      <c r="B10" s="590" t="s">
        <v>1686</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901"/>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901"/>
      <c r="Q11" s="1343">
        <f t="shared" si="6"/>
        <v>111</v>
      </c>
      <c r="R11" s="701" t="s">
        <v>14</v>
      </c>
      <c r="S11" s="702">
        <f t="shared" si="0"/>
        <v>100</v>
      </c>
      <c r="T11" s="701" t="s">
        <v>14</v>
      </c>
      <c r="U11" s="702">
        <f t="shared" si="1"/>
        <v>100</v>
      </c>
      <c r="V11" s="701" t="s">
        <v>14</v>
      </c>
      <c r="W11" s="702">
        <f t="shared" si="2"/>
        <v>100</v>
      </c>
      <c r="X11" s="703"/>
      <c r="Y11" s="3757"/>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901"/>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901"/>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704">
        <f t="shared" si="5"/>
        <v>1</v>
      </c>
    </row>
    <row r="14" spans="1:29" ht="85.5">
      <c r="A14" s="355" t="s">
        <v>1688</v>
      </c>
      <c r="B14" s="577" t="s">
        <v>1831</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903" t="s">
        <v>1689</v>
      </c>
      <c r="Q14" s="1352" t="str">
        <f t="shared" si="6"/>
        <v>交通便捷度</v>
      </c>
      <c r="R14" s="705" t="s">
        <v>14</v>
      </c>
      <c r="S14" s="706">
        <f t="shared" si="0"/>
        <v>100</v>
      </c>
      <c r="T14" s="705" t="s">
        <v>14</v>
      </c>
      <c r="U14" s="706">
        <f t="shared" si="1"/>
        <v>100</v>
      </c>
      <c r="V14" s="705" t="s">
        <v>14</v>
      </c>
      <c r="W14" s="706">
        <f t="shared" si="2"/>
        <v>100</v>
      </c>
      <c r="X14" s="1355"/>
      <c r="Y14" s="3903" t="s">
        <v>1689</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904"/>
      <c r="Q15" s="1352"/>
      <c r="R15" s="705"/>
      <c r="S15" s="706"/>
      <c r="T15" s="705"/>
      <c r="U15" s="706"/>
      <c r="V15" s="705"/>
      <c r="W15" s="706"/>
      <c r="X15" s="1355"/>
      <c r="Y15" s="3904"/>
      <c r="Z15" s="1356"/>
      <c r="AA15" s="1353">
        <v>1</v>
      </c>
      <c r="AB15" s="1353">
        <v>1</v>
      </c>
      <c r="AC15" s="1353">
        <v>1</v>
      </c>
    </row>
    <row r="16" spans="1:29" ht="42.75">
      <c r="A16" s="358"/>
      <c r="B16" s="579" t="s">
        <v>1810</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904"/>
      <c r="Q16" s="1352" t="str">
        <f>B16</f>
        <v>公共配套设施</v>
      </c>
      <c r="R16" s="705" t="s">
        <v>14</v>
      </c>
      <c r="S16" s="706">
        <f>F16</f>
        <v>100</v>
      </c>
      <c r="T16" s="705" t="s">
        <v>14</v>
      </c>
      <c r="U16" s="706">
        <f>H16</f>
        <v>100</v>
      </c>
      <c r="V16" s="705" t="s">
        <v>14</v>
      </c>
      <c r="W16" s="706">
        <f>J16</f>
        <v>100</v>
      </c>
      <c r="X16" s="1355"/>
      <c r="Y16" s="3904"/>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904"/>
      <c r="Q17" s="1352"/>
      <c r="R17" s="705"/>
      <c r="S17" s="706"/>
      <c r="T17" s="705"/>
      <c r="U17" s="706"/>
      <c r="V17" s="705"/>
      <c r="W17" s="706"/>
      <c r="X17" s="1355"/>
      <c r="Y17" s="3904"/>
      <c r="Z17" s="1356"/>
      <c r="AA17" s="1353">
        <v>1</v>
      </c>
      <c r="AB17" s="1353">
        <v>1</v>
      </c>
      <c r="AC17" s="1353">
        <v>1</v>
      </c>
    </row>
    <row r="18" spans="1:29" ht="28.5">
      <c r="A18" s="358"/>
      <c r="B18" s="581" t="s">
        <v>1811</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904"/>
      <c r="Q18" s="1352" t="str">
        <f>B18</f>
        <v>基础设施水平</v>
      </c>
      <c r="R18" s="705" t="s">
        <v>14</v>
      </c>
      <c r="S18" s="706">
        <f>F18</f>
        <v>100</v>
      </c>
      <c r="T18" s="705" t="s">
        <v>14</v>
      </c>
      <c r="U18" s="706">
        <f>H18</f>
        <v>100</v>
      </c>
      <c r="V18" s="705" t="s">
        <v>14</v>
      </c>
      <c r="W18" s="706">
        <f>J18</f>
        <v>100</v>
      </c>
      <c r="X18" s="1355"/>
      <c r="Y18" s="3904"/>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904"/>
      <c r="Q19" s="1352"/>
      <c r="R19" s="705"/>
      <c r="S19" s="706"/>
      <c r="T19" s="705"/>
      <c r="U19" s="706"/>
      <c r="V19" s="705"/>
      <c r="W19" s="706"/>
      <c r="X19" s="1355"/>
      <c r="Y19" s="3904"/>
      <c r="Z19" s="1356"/>
      <c r="AA19" s="1353">
        <v>1</v>
      </c>
      <c r="AB19" s="1353">
        <v>1</v>
      </c>
      <c r="AC19" s="1353">
        <v>1</v>
      </c>
    </row>
    <row r="20" spans="1:29" ht="57">
      <c r="A20" s="358"/>
      <c r="B20" s="579" t="s">
        <v>1832</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904"/>
      <c r="Q20" s="1352" t="str">
        <f>B20</f>
        <v>自然及人文环境</v>
      </c>
      <c r="R20" s="705" t="s">
        <v>14</v>
      </c>
      <c r="S20" s="706">
        <f>F20</f>
        <v>100</v>
      </c>
      <c r="T20" s="705" t="s">
        <v>14</v>
      </c>
      <c r="U20" s="706">
        <f>H20</f>
        <v>100</v>
      </c>
      <c r="V20" s="705" t="s">
        <v>14</v>
      </c>
      <c r="W20" s="706">
        <f>J20</f>
        <v>100</v>
      </c>
      <c r="X20" s="1355"/>
      <c r="Y20" s="3904"/>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904"/>
      <c r="Q21" s="1352"/>
      <c r="R21" s="705"/>
      <c r="S21" s="706"/>
      <c r="T21" s="705"/>
      <c r="U21" s="706"/>
      <c r="V21" s="705"/>
      <c r="W21" s="706"/>
      <c r="X21" s="1355"/>
      <c r="Y21" s="3904"/>
      <c r="Z21" s="1356"/>
      <c r="AA21" s="1353">
        <v>1</v>
      </c>
      <c r="AB21" s="1353">
        <v>1</v>
      </c>
      <c r="AC21" s="1353">
        <v>1</v>
      </c>
    </row>
    <row r="22" spans="1:29" ht="15">
      <c r="A22" s="358"/>
      <c r="B22" s="579" t="s">
        <v>1833</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904"/>
      <c r="Q22" s="1352" t="str">
        <f>B22</f>
        <v>楼层</v>
      </c>
      <c r="R22" s="705" t="s">
        <v>14</v>
      </c>
      <c r="S22" s="706">
        <f>F22</f>
        <v>100</v>
      </c>
      <c r="T22" s="705" t="s">
        <v>14</v>
      </c>
      <c r="U22" s="706">
        <f>H22</f>
        <v>100</v>
      </c>
      <c r="V22" s="705" t="s">
        <v>14</v>
      </c>
      <c r="W22" s="706">
        <f>J22</f>
        <v>100</v>
      </c>
      <c r="X22" s="1355"/>
      <c r="Y22" s="3904"/>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904"/>
      <c r="Q23" s="1352">
        <f>B23</f>
        <v>111</v>
      </c>
      <c r="R23" s="705" t="s">
        <v>14</v>
      </c>
      <c r="S23" s="706">
        <f>F23</f>
        <v>100</v>
      </c>
      <c r="T23" s="705" t="s">
        <v>14</v>
      </c>
      <c r="U23" s="706">
        <f>H23</f>
        <v>100</v>
      </c>
      <c r="V23" s="705" t="s">
        <v>14</v>
      </c>
      <c r="W23" s="706">
        <f>J23</f>
        <v>100</v>
      </c>
      <c r="X23" s="1355"/>
      <c r="Y23" s="3904"/>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904"/>
      <c r="Q24" s="1352">
        <f t="shared" ref="Q24:Q36" si="11">B24</f>
        <v>111</v>
      </c>
      <c r="R24" s="705" t="s">
        <v>14</v>
      </c>
      <c r="S24" s="706">
        <f>F24</f>
        <v>100</v>
      </c>
      <c r="T24" s="705" t="s">
        <v>14</v>
      </c>
      <c r="U24" s="706">
        <f>H24</f>
        <v>100</v>
      </c>
      <c r="V24" s="705" t="s">
        <v>14</v>
      </c>
      <c r="W24" s="706">
        <f>J24</f>
        <v>100</v>
      </c>
      <c r="X24" s="1355"/>
      <c r="Y24" s="3904"/>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904"/>
      <c r="Q25" s="1343">
        <f t="shared" si="11"/>
        <v>111</v>
      </c>
      <c r="R25" s="701" t="s">
        <v>14</v>
      </c>
      <c r="S25" s="702">
        <f>F25</f>
        <v>100</v>
      </c>
      <c r="T25" s="701" t="s">
        <v>14</v>
      </c>
      <c r="U25" s="702">
        <f>H25</f>
        <v>100</v>
      </c>
      <c r="V25" s="701" t="s">
        <v>14</v>
      </c>
      <c r="W25" s="702">
        <f>J25</f>
        <v>100</v>
      </c>
      <c r="X25" s="703"/>
      <c r="Y25" s="3904"/>
      <c r="Z25" s="52">
        <f>Q25</f>
        <v>111</v>
      </c>
      <c r="AA25" s="1353">
        <f>D25/F25</f>
        <v>1</v>
      </c>
      <c r="AB25" s="1353">
        <f>D25/H25</f>
        <v>1</v>
      </c>
      <c r="AC25" s="1353">
        <f>D25/J25</f>
        <v>1</v>
      </c>
    </row>
    <row r="26" spans="1:29" ht="28.5">
      <c r="A26" s="600" t="s">
        <v>1692</v>
      </c>
      <c r="B26" s="62" t="s">
        <v>1834</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961" t="s">
        <v>1694</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908" t="s">
        <v>1694</v>
      </c>
      <c r="Z26" s="1356" t="str">
        <f t="shared" ref="Z26:Z36" si="15">Q26</f>
        <v>配套类型</v>
      </c>
      <c r="AA26" s="1353" t="e">
        <f t="shared" si="3"/>
        <v>#DIV/0!</v>
      </c>
      <c r="AB26" s="1353" t="e">
        <f t="shared" si="4"/>
        <v>#DIV/0!</v>
      </c>
      <c r="AC26" s="1353" t="e">
        <f t="shared" si="5"/>
        <v>#DIV/0!</v>
      </c>
    </row>
    <row r="27" spans="1:29" s="422" customFormat="1" ht="15">
      <c r="A27" s="601"/>
      <c r="B27" s="602" t="s">
        <v>1835</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908"/>
      <c r="Q27" s="707" t="str">
        <f t="shared" si="11"/>
        <v>项目停车位配比</v>
      </c>
      <c r="R27" s="708" t="s">
        <v>14</v>
      </c>
      <c r="S27" s="709">
        <f t="shared" si="12"/>
        <v>100</v>
      </c>
      <c r="T27" s="708" t="s">
        <v>14</v>
      </c>
      <c r="U27" s="709">
        <f t="shared" si="13"/>
        <v>100</v>
      </c>
      <c r="V27" s="708" t="s">
        <v>14</v>
      </c>
      <c r="W27" s="709">
        <f t="shared" si="14"/>
        <v>100</v>
      </c>
      <c r="X27" s="710"/>
      <c r="Y27" s="3908"/>
      <c r="Z27" s="711" t="str">
        <f t="shared" si="15"/>
        <v>项目停车位配比</v>
      </c>
      <c r="AA27" s="1353">
        <f t="shared" si="3"/>
        <v>1</v>
      </c>
      <c r="AB27" s="1353">
        <f t="shared" si="4"/>
        <v>1</v>
      </c>
      <c r="AC27" s="1353">
        <f t="shared" si="5"/>
        <v>1</v>
      </c>
    </row>
    <row r="28" spans="1:29" ht="15">
      <c r="A28" s="604"/>
      <c r="B28" s="602" t="s">
        <v>1836</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908"/>
      <c r="Q28" s="1352" t="str">
        <f t="shared" si="11"/>
        <v>公共部分装修</v>
      </c>
      <c r="R28" s="705" t="s">
        <v>14</v>
      </c>
      <c r="S28" s="706">
        <f t="shared" si="12"/>
        <v>100</v>
      </c>
      <c r="T28" s="705" t="s">
        <v>14</v>
      </c>
      <c r="U28" s="706">
        <f t="shared" si="13"/>
        <v>100</v>
      </c>
      <c r="V28" s="705" t="s">
        <v>14</v>
      </c>
      <c r="W28" s="706">
        <f t="shared" si="14"/>
        <v>100</v>
      </c>
      <c r="X28" s="1355"/>
      <c r="Y28" s="3908"/>
      <c r="Z28" s="1356" t="str">
        <f t="shared" si="15"/>
        <v>公共部分装修</v>
      </c>
      <c r="AA28" s="1353">
        <f t="shared" si="3"/>
        <v>1</v>
      </c>
      <c r="AB28" s="1353">
        <f t="shared" si="4"/>
        <v>1</v>
      </c>
      <c r="AC28" s="1353">
        <f t="shared" si="5"/>
        <v>1</v>
      </c>
    </row>
    <row r="29" spans="1:29" ht="15">
      <c r="A29" s="604"/>
      <c r="B29" s="602" t="s">
        <v>1837</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908"/>
      <c r="Q29" s="1352" t="str">
        <f t="shared" si="11"/>
        <v>成新率</v>
      </c>
      <c r="R29" s="705" t="s">
        <v>14</v>
      </c>
      <c r="S29" s="706" t="e">
        <f t="shared" si="12"/>
        <v>#N/A</v>
      </c>
      <c r="T29" s="705" t="s">
        <v>14</v>
      </c>
      <c r="U29" s="706" t="e">
        <f t="shared" si="13"/>
        <v>#N/A</v>
      </c>
      <c r="V29" s="705" t="s">
        <v>14</v>
      </c>
      <c r="W29" s="706" t="e">
        <f t="shared" si="14"/>
        <v>#N/A</v>
      </c>
      <c r="X29" s="1355"/>
      <c r="Y29" s="3908"/>
      <c r="Z29" s="1356" t="str">
        <f t="shared" si="15"/>
        <v>成新率</v>
      </c>
      <c r="AA29" s="1353" t="e">
        <f t="shared" si="3"/>
        <v>#N/A</v>
      </c>
      <c r="AB29" s="1353" t="e">
        <f t="shared" si="4"/>
        <v>#N/A</v>
      </c>
      <c r="AC29" s="1353" t="e">
        <f t="shared" si="5"/>
        <v>#N/A</v>
      </c>
    </row>
    <row r="30" spans="1:29" ht="15">
      <c r="A30" s="604"/>
      <c r="B30" s="602" t="s">
        <v>1838</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908"/>
      <c r="Q30" s="1352" t="str">
        <f t="shared" si="11"/>
        <v>物业等级</v>
      </c>
      <c r="R30" s="705" t="s">
        <v>14</v>
      </c>
      <c r="S30" s="706">
        <f t="shared" si="12"/>
        <v>100</v>
      </c>
      <c r="T30" s="705" t="s">
        <v>14</v>
      </c>
      <c r="U30" s="706">
        <f t="shared" si="13"/>
        <v>100</v>
      </c>
      <c r="V30" s="705" t="s">
        <v>14</v>
      </c>
      <c r="W30" s="706">
        <f t="shared" si="14"/>
        <v>100</v>
      </c>
      <c r="X30" s="1355"/>
      <c r="Y30" s="3908"/>
      <c r="Z30" s="1356" t="str">
        <f t="shared" si="15"/>
        <v>物业等级</v>
      </c>
      <c r="AA30" s="1353">
        <f t="shared" si="3"/>
        <v>1</v>
      </c>
      <c r="AB30" s="1353">
        <f t="shared" si="4"/>
        <v>1</v>
      </c>
      <c r="AC30" s="1353">
        <f t="shared" si="5"/>
        <v>1</v>
      </c>
    </row>
    <row r="31" spans="1:29" s="108" customFormat="1" ht="15">
      <c r="A31" s="606"/>
      <c r="B31" s="602" t="s">
        <v>1839</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908"/>
      <c r="Q31" s="1343" t="str">
        <f t="shared" si="11"/>
        <v>停车位面积</v>
      </c>
      <c r="R31" s="701" t="s">
        <v>14</v>
      </c>
      <c r="S31" s="702" t="e">
        <f t="shared" si="12"/>
        <v>#N/A</v>
      </c>
      <c r="T31" s="701" t="s">
        <v>14</v>
      </c>
      <c r="U31" s="702" t="e">
        <f t="shared" si="13"/>
        <v>#N/A</v>
      </c>
      <c r="V31" s="701" t="s">
        <v>14</v>
      </c>
      <c r="W31" s="702" t="e">
        <f t="shared" si="14"/>
        <v>#N/A</v>
      </c>
      <c r="X31" s="703"/>
      <c r="Y31" s="3908"/>
      <c r="Z31" s="52" t="str">
        <f t="shared" si="15"/>
        <v>停车位面积</v>
      </c>
      <c r="AA31" s="704" t="e">
        <f t="shared" si="3"/>
        <v>#N/A</v>
      </c>
      <c r="AB31" s="704" t="e">
        <f t="shared" si="4"/>
        <v>#N/A</v>
      </c>
      <c r="AC31" s="704" t="e">
        <f t="shared" si="5"/>
        <v>#N/A</v>
      </c>
    </row>
    <row r="32" spans="1:29" ht="15">
      <c r="A32" s="604"/>
      <c r="B32" s="602" t="s">
        <v>1840</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908" t="s">
        <v>1694</v>
      </c>
      <c r="Q32" s="1352" t="str">
        <f t="shared" si="11"/>
        <v>车位类型</v>
      </c>
      <c r="R32" s="705" t="s">
        <v>14</v>
      </c>
      <c r="S32" s="706">
        <f t="shared" si="12"/>
        <v>100</v>
      </c>
      <c r="T32" s="705" t="s">
        <v>14</v>
      </c>
      <c r="U32" s="706">
        <f t="shared" si="13"/>
        <v>100</v>
      </c>
      <c r="V32" s="705" t="s">
        <v>14</v>
      </c>
      <c r="W32" s="706">
        <f t="shared" si="14"/>
        <v>100</v>
      </c>
      <c r="X32" s="1355"/>
      <c r="Y32" s="3908" t="s">
        <v>1694</v>
      </c>
      <c r="Z32" s="1356" t="str">
        <f t="shared" si="15"/>
        <v>车位类型</v>
      </c>
      <c r="AA32" s="1353">
        <f t="shared" si="3"/>
        <v>1</v>
      </c>
      <c r="AB32" s="1353">
        <f t="shared" si="4"/>
        <v>1</v>
      </c>
      <c r="AC32" s="1353">
        <f t="shared" si="5"/>
        <v>1</v>
      </c>
    </row>
    <row r="33" spans="1:29" ht="15">
      <c r="A33" s="604"/>
      <c r="B33" s="602" t="s">
        <v>1841</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908"/>
      <c r="Q33" s="1352" t="str">
        <f t="shared" si="11"/>
        <v>是否直接入户</v>
      </c>
      <c r="R33" s="705" t="s">
        <v>14</v>
      </c>
      <c r="S33" s="706">
        <f t="shared" si="12"/>
        <v>100</v>
      </c>
      <c r="T33" s="705" t="s">
        <v>14</v>
      </c>
      <c r="U33" s="706">
        <f t="shared" si="13"/>
        <v>100</v>
      </c>
      <c r="V33" s="705" t="s">
        <v>14</v>
      </c>
      <c r="W33" s="706">
        <f t="shared" si="14"/>
        <v>100</v>
      </c>
      <c r="X33" s="1355"/>
      <c r="Y33" s="3908"/>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908"/>
      <c r="Q34" s="1352">
        <f t="shared" si="11"/>
        <v>111</v>
      </c>
      <c r="R34" s="705" t="s">
        <v>14</v>
      </c>
      <c r="S34" s="706">
        <f t="shared" si="12"/>
        <v>100</v>
      </c>
      <c r="T34" s="705" t="s">
        <v>14</v>
      </c>
      <c r="U34" s="706">
        <f t="shared" si="13"/>
        <v>100</v>
      </c>
      <c r="V34" s="705" t="s">
        <v>14</v>
      </c>
      <c r="W34" s="706">
        <f t="shared" si="14"/>
        <v>100</v>
      </c>
      <c r="X34" s="1355"/>
      <c r="Y34" s="3908"/>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908"/>
      <c r="Q35" s="707">
        <f t="shared" si="11"/>
        <v>111</v>
      </c>
      <c r="R35" s="708" t="s">
        <v>14</v>
      </c>
      <c r="S35" s="709">
        <f t="shared" si="12"/>
        <v>100</v>
      </c>
      <c r="T35" s="708" t="s">
        <v>14</v>
      </c>
      <c r="U35" s="709">
        <f t="shared" si="13"/>
        <v>100</v>
      </c>
      <c r="V35" s="708" t="s">
        <v>14</v>
      </c>
      <c r="W35" s="709">
        <f t="shared" si="14"/>
        <v>100</v>
      </c>
      <c r="X35" s="710"/>
      <c r="Y35" s="3908"/>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908"/>
      <c r="Q36" s="1352">
        <f t="shared" si="11"/>
        <v>111</v>
      </c>
      <c r="R36" s="705" t="s">
        <v>14</v>
      </c>
      <c r="S36" s="706">
        <f t="shared" si="12"/>
        <v>100</v>
      </c>
      <c r="T36" s="705" t="s">
        <v>14</v>
      </c>
      <c r="U36" s="706">
        <f t="shared" si="13"/>
        <v>100</v>
      </c>
      <c r="V36" s="705" t="s">
        <v>14</v>
      </c>
      <c r="W36" s="706">
        <f t="shared" si="14"/>
        <v>100</v>
      </c>
      <c r="X36" s="1355"/>
      <c r="Y36" s="3908"/>
      <c r="Z36" s="1356">
        <f t="shared" si="15"/>
        <v>111</v>
      </c>
      <c r="AA36" s="1353">
        <f t="shared" si="3"/>
        <v>1</v>
      </c>
      <c r="AB36" s="1353">
        <f t="shared" si="4"/>
        <v>1</v>
      </c>
      <c r="AC36" s="1353">
        <f t="shared" si="5"/>
        <v>1</v>
      </c>
    </row>
    <row r="37" spans="1:29" ht="15">
      <c r="A37" s="430" t="s">
        <v>1842</v>
      </c>
      <c r="B37" s="1973" t="s">
        <v>3355</v>
      </c>
      <c r="C37" s="1154" t="s">
        <v>0</v>
      </c>
      <c r="D37" s="1155"/>
      <c r="E37" s="1156"/>
      <c r="F37" s="1157"/>
      <c r="G37" s="1158"/>
      <c r="H37" s="1159"/>
      <c r="I37" s="1156"/>
      <c r="J37" s="1159"/>
      <c r="K37" s="568"/>
      <c r="L37" s="2724"/>
      <c r="M37" s="2725"/>
      <c r="N37" s="2716"/>
      <c r="O37" s="2725"/>
      <c r="P37" s="3901" t="str">
        <f>A37</f>
        <v>成交单价</v>
      </c>
      <c r="Q37" s="3901"/>
      <c r="R37" s="3902">
        <f>E37</f>
        <v>0</v>
      </c>
      <c r="S37" s="3902"/>
      <c r="T37" s="3902">
        <f>G37</f>
        <v>0</v>
      </c>
      <c r="U37" s="3902"/>
      <c r="V37" s="3902">
        <f>I37</f>
        <v>0</v>
      </c>
      <c r="W37" s="3902"/>
      <c r="X37" s="690"/>
      <c r="Y37" s="712"/>
      <c r="Z37" s="690"/>
      <c r="AA37" s="690"/>
      <c r="AB37" s="690"/>
      <c r="AC37" s="690"/>
    </row>
    <row r="38" spans="1:29" ht="15.75" thickBot="1">
      <c r="A38" s="437" t="s">
        <v>1843</v>
      </c>
      <c r="B38" s="438" t="str">
        <f>B37</f>
        <v>元/平方米</v>
      </c>
      <c r="C38" s="1160" t="e">
        <f>R39</f>
        <v>#DIV/0!</v>
      </c>
      <c r="D38" s="2317" t="s">
        <v>2135</v>
      </c>
      <c r="E38" s="1161" t="e">
        <f>R38</f>
        <v>#DIV/0!</v>
      </c>
      <c r="F38" s="2318"/>
      <c r="G38" s="1160" t="e">
        <f>T38</f>
        <v>#DIV/0!</v>
      </c>
      <c r="H38" s="2318"/>
      <c r="I38" s="1161" t="e">
        <f>V38</f>
        <v>#DIV/0!</v>
      </c>
      <c r="J38" s="2318"/>
      <c r="K38" s="2320">
        <f>F38+H38+J38</f>
        <v>0</v>
      </c>
      <c r="L38" s="2724"/>
      <c r="M38" s="2725"/>
      <c r="N38" s="2725"/>
      <c r="O38" s="2725"/>
      <c r="P38" s="3901" t="str">
        <f>A38</f>
        <v>比较价值（元/平方米）</v>
      </c>
      <c r="Q38" s="3901"/>
      <c r="R38" s="3902" t="e">
        <f>IF(F1="售价",ROUND(PRODUCT(R37,AA7:AA36),0),ROUND(PRODUCT(R37,AA7:AA36),1))</f>
        <v>#DIV/0!</v>
      </c>
      <c r="S38" s="3902"/>
      <c r="T38" s="3902" t="e">
        <f>IF(F1="售价",ROUND(PRODUCT(T37,AB7:AB36),0),ROUND(PRODUCT(T37,AB7:AB36),1))</f>
        <v>#DIV/0!</v>
      </c>
      <c r="U38" s="3902"/>
      <c r="V38" s="3902" t="e">
        <f>IF(F1="售价",ROUND(PRODUCT(V37,AC7:AC36),0),ROUND(PRODUCT(V37,AC7:AC36),1))</f>
        <v>#DIV/0!</v>
      </c>
      <c r="W38" s="3902"/>
      <c r="X38" s="690"/>
      <c r="Y38" s="690"/>
      <c r="Z38" s="690"/>
      <c r="AA38" s="690"/>
      <c r="AB38" s="690"/>
      <c r="AC38" s="690"/>
    </row>
    <row r="39" spans="1:29" ht="15.75" thickBot="1">
      <c r="A39" s="441" t="s">
        <v>1844</v>
      </c>
      <c r="B39" s="442"/>
      <c r="C39" s="1163" t="e">
        <f>R39</f>
        <v>#DIV/0!</v>
      </c>
      <c r="D39" s="1163"/>
      <c r="E39" s="1163"/>
      <c r="F39" s="1163"/>
      <c r="G39" s="1163"/>
      <c r="H39" s="1163"/>
      <c r="I39" s="1163"/>
      <c r="J39" s="1163"/>
      <c r="K39" s="569"/>
      <c r="L39" s="2724"/>
      <c r="M39" s="2725"/>
      <c r="N39" s="2725"/>
      <c r="O39" s="2725"/>
      <c r="P39" s="3898" t="str">
        <f>A39</f>
        <v>估价对象XX用房的比较价值（楼面单价，元/平方米）</v>
      </c>
      <c r="Q39" s="3899"/>
      <c r="R39" s="3962" t="e">
        <f>IF(F1="售价",ROUND(IF(D38="简单平均",AVERAGE(R38:W38),R38*F38+T38*H38+V38*J38),0),ROUND(IF(D38="简单平均",AVERAGE(R38:V38),R38*F38+T38*H38+V38*J38),1))</f>
        <v>#DIV/0!</v>
      </c>
      <c r="S39" s="3962"/>
      <c r="T39" s="3962"/>
      <c r="U39" s="3962"/>
      <c r="V39" s="3962"/>
      <c r="W39" s="3962"/>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1845</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1846</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1847</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1848</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1849</v>
      </c>
      <c r="B48" s="455"/>
      <c r="C48" s="1184" t="str">
        <f>YEAR(C7)&amp;"-"&amp;MONTH(C7)</f>
        <v>2024-4</v>
      </c>
      <c r="D48" s="1185">
        <f>EDATE(C48,-1)</f>
        <v>45352</v>
      </c>
      <c r="E48" s="1185">
        <f t="shared" ref="E48:O48" si="16">EDATE(D48,-1)</f>
        <v>45323</v>
      </c>
      <c r="F48" s="1185">
        <f t="shared" si="16"/>
        <v>45292</v>
      </c>
      <c r="G48" s="1185">
        <f t="shared" si="16"/>
        <v>45261</v>
      </c>
      <c r="H48" s="1185">
        <f t="shared" si="16"/>
        <v>45231</v>
      </c>
      <c r="I48" s="1185">
        <f t="shared" si="16"/>
        <v>45200</v>
      </c>
      <c r="J48" s="1185">
        <f t="shared" si="16"/>
        <v>45170</v>
      </c>
      <c r="K48" s="1185">
        <f t="shared" si="16"/>
        <v>45139</v>
      </c>
      <c r="L48" s="1185">
        <f t="shared" si="16"/>
        <v>45108</v>
      </c>
      <c r="M48" s="1185">
        <f t="shared" si="16"/>
        <v>45078</v>
      </c>
      <c r="N48" s="1185">
        <f t="shared" si="16"/>
        <v>45047</v>
      </c>
      <c r="O48" s="1185">
        <f t="shared" si="16"/>
        <v>45017</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1714</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1679</v>
      </c>
      <c r="B51" s="459"/>
      <c r="C51" s="471" t="s">
        <v>1774</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1717</v>
      </c>
      <c r="B53" s="477" t="s">
        <v>1683</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1686</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1688</v>
      </c>
      <c r="B63" s="477" t="s">
        <v>1724</v>
      </c>
      <c r="C63" s="522" t="s">
        <v>1719</v>
      </c>
      <c r="D63" s="522" t="s">
        <v>1720</v>
      </c>
      <c r="E63" s="522" t="s">
        <v>1721</v>
      </c>
      <c r="F63" s="522" t="s">
        <v>1722</v>
      </c>
      <c r="G63" s="522" t="s">
        <v>1723</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1725</v>
      </c>
      <c r="C65" s="527" t="s">
        <v>1719</v>
      </c>
      <c r="D65" s="527" t="s">
        <v>1720</v>
      </c>
      <c r="E65" s="527" t="s">
        <v>1721</v>
      </c>
      <c r="F65" s="527" t="s">
        <v>1722</v>
      </c>
      <c r="G65" s="527" t="s">
        <v>1723</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1811</v>
      </c>
      <c r="C67" s="608" t="s">
        <v>1797</v>
      </c>
      <c r="D67" s="608" t="s">
        <v>1798</v>
      </c>
      <c r="E67" s="608" t="s">
        <v>1799</v>
      </c>
      <c r="F67" s="608" t="s">
        <v>1800</v>
      </c>
      <c r="G67" s="608" t="s">
        <v>1801</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1731</v>
      </c>
      <c r="C69" s="527" t="s">
        <v>1719</v>
      </c>
      <c r="D69" s="527" t="s">
        <v>1720</v>
      </c>
      <c r="E69" s="527" t="s">
        <v>1721</v>
      </c>
      <c r="F69" s="527" t="s">
        <v>1722</v>
      </c>
      <c r="G69" s="527" t="s">
        <v>1723</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1850</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1692</v>
      </c>
      <c r="B79" s="477" t="s">
        <v>1851</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1852</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1738</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1853</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1854</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1855</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1856</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1857</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2" priority="18" stopIfTrue="1" operator="containsText" text="超过">
      <formula>NOT(ISERROR(SEARCH("超过",F42)))</formula>
    </cfRule>
  </conditionalFormatting>
  <conditionalFormatting sqref="J44">
    <cfRule type="containsText" dxfId="91" priority="17" stopIfTrue="1" operator="containsText" text="超过">
      <formula>NOT(ISERROR(SEARCH("超过",J44)))</formula>
    </cfRule>
  </conditionalFormatting>
  <conditionalFormatting sqref="H44">
    <cfRule type="containsText" dxfId="90" priority="16" stopIfTrue="1" operator="containsText" text="超过">
      <formula>NOT(ISERROR(SEARCH("超过",H44)))</formula>
    </cfRule>
  </conditionalFormatting>
  <conditionalFormatting sqref="F44">
    <cfRule type="containsText" dxfId="89" priority="15" stopIfTrue="1" operator="containsText" text="超过">
      <formula>NOT(ISERROR(SEARCH("超过",F44)))</formula>
    </cfRule>
  </conditionalFormatting>
  <conditionalFormatting sqref="F43 H43 J43">
    <cfRule type="containsText" dxfId="88" priority="14" stopIfTrue="1" operator="containsText" text="超过">
      <formula>NOT(ISERROR(SEARCH("超过",F43)))</formula>
    </cfRule>
  </conditionalFormatting>
  <conditionalFormatting sqref="E42">
    <cfRule type="expression" dxfId="87" priority="13" stopIfTrue="1">
      <formula>$F$42="超过30%"</formula>
    </cfRule>
  </conditionalFormatting>
  <conditionalFormatting sqref="G44">
    <cfRule type="expression" dxfId="86" priority="12" stopIfTrue="1">
      <formula>$H$54+$H$44="超过30%"</formula>
    </cfRule>
  </conditionalFormatting>
  <conditionalFormatting sqref="E43">
    <cfRule type="expression" dxfId="85" priority="11" stopIfTrue="1">
      <formula>$F$43="超过20%"</formula>
    </cfRule>
  </conditionalFormatting>
  <conditionalFormatting sqref="E44">
    <cfRule type="expression" dxfId="84" priority="10" stopIfTrue="1">
      <formula>$F$44="超过30%"</formula>
    </cfRule>
  </conditionalFormatting>
  <conditionalFormatting sqref="G42">
    <cfRule type="expression" dxfId="83" priority="9" stopIfTrue="1">
      <formula>$H$52+$H$42="超过30%"</formula>
    </cfRule>
  </conditionalFormatting>
  <conditionalFormatting sqref="G43">
    <cfRule type="expression" dxfId="82" priority="8" stopIfTrue="1">
      <formula>$H$43="超过20%"</formula>
    </cfRule>
  </conditionalFormatting>
  <conditionalFormatting sqref="I42">
    <cfRule type="expression" dxfId="81" priority="7" stopIfTrue="1">
      <formula>$J$52+$J$42="超过30%"</formula>
    </cfRule>
  </conditionalFormatting>
  <conditionalFormatting sqref="I43">
    <cfRule type="expression" dxfId="80" priority="6" stopIfTrue="1">
      <formula>$J$53+$J$43="超过20%"</formula>
    </cfRule>
  </conditionalFormatting>
  <conditionalFormatting sqref="I44">
    <cfRule type="expression" dxfId="79" priority="5" stopIfTrue="1">
      <formula>$J$44="超过30%"</formula>
    </cfRule>
  </conditionalFormatting>
  <conditionalFormatting sqref="F38">
    <cfRule type="expression" dxfId="78" priority="4">
      <formula>$D$38="简单平均"</formula>
    </cfRule>
  </conditionalFormatting>
  <conditionalFormatting sqref="H38">
    <cfRule type="expression" dxfId="77" priority="3">
      <formula>$D$38="简单平均"</formula>
    </cfRule>
  </conditionalFormatting>
  <conditionalFormatting sqref="J38">
    <cfRule type="expression" dxfId="76" priority="2">
      <formula>$D$38="简单平均"</formula>
    </cfRule>
  </conditionalFormatting>
  <conditionalFormatting sqref="F7:F36 H7:H36 J7:J36">
    <cfRule type="cellIs" dxfId="7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1829</v>
      </c>
      <c r="B1" s="1223" t="s">
        <v>3335</v>
      </c>
      <c r="C1" s="1224" t="s">
        <v>1660</v>
      </c>
      <c r="D1" s="1225"/>
      <c r="E1" s="3433"/>
      <c r="F1" s="1879"/>
      <c r="G1" s="1235" t="s">
        <v>1765</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1460</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1461</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1462</v>
      </c>
      <c r="B3" s="558" t="e">
        <f>IF(C2="——",C37,ROUND(B2*10000/D3,0))</f>
        <v>#DIV/0!</v>
      </c>
      <c r="C3" s="354" t="s">
        <v>1766</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1767</v>
      </c>
      <c r="B4" s="356"/>
      <c r="C4" s="3916" t="s">
        <v>1768</v>
      </c>
      <c r="D4" s="3917"/>
      <c r="E4" s="3918" t="s">
        <v>1769</v>
      </c>
      <c r="F4" s="3919"/>
      <c r="G4" s="3916" t="s">
        <v>1770</v>
      </c>
      <c r="H4" s="3917"/>
      <c r="I4" s="3916" t="s">
        <v>1771</v>
      </c>
      <c r="J4" s="3917"/>
      <c r="K4" s="559" t="s">
        <v>1772</v>
      </c>
      <c r="L4" s="2715"/>
      <c r="M4" s="2716"/>
      <c r="N4" s="2716"/>
      <c r="O4" s="2716"/>
      <c r="P4" s="3920" t="s">
        <v>1773</v>
      </c>
      <c r="Q4" s="3921"/>
      <c r="R4" s="3926" t="s">
        <v>1769</v>
      </c>
      <c r="S4" s="3927"/>
      <c r="T4" s="3926" t="s">
        <v>1770</v>
      </c>
      <c r="U4" s="3927"/>
      <c r="V4" s="3932" t="s">
        <v>1771</v>
      </c>
      <c r="W4" s="3932"/>
      <c r="X4" s="1355"/>
      <c r="Y4" s="3926" t="s">
        <v>1773</v>
      </c>
      <c r="Z4" s="3927"/>
      <c r="AA4" s="3913" t="s">
        <v>1769</v>
      </c>
      <c r="AB4" s="3914" t="s">
        <v>1770</v>
      </c>
      <c r="AC4" s="3913" t="s">
        <v>1771</v>
      </c>
    </row>
    <row r="5" spans="1:29" ht="15">
      <c r="A5" s="358"/>
      <c r="B5" s="359"/>
      <c r="C5" s="3935" t="s">
        <v>1671</v>
      </c>
      <c r="D5" s="3936"/>
      <c r="E5" s="3942" t="s">
        <v>1672</v>
      </c>
      <c r="F5" s="3943"/>
      <c r="G5" s="3935" t="s">
        <v>1673</v>
      </c>
      <c r="H5" s="3936"/>
      <c r="I5" s="3935" t="s">
        <v>1674</v>
      </c>
      <c r="J5" s="3936"/>
      <c r="K5" s="559"/>
      <c r="L5" s="2715"/>
      <c r="M5" s="2716"/>
      <c r="N5" s="2716"/>
      <c r="O5" s="2716"/>
      <c r="P5" s="3922"/>
      <c r="Q5" s="3923"/>
      <c r="R5" s="3928"/>
      <c r="S5" s="3929"/>
      <c r="T5" s="3928"/>
      <c r="U5" s="3929"/>
      <c r="V5" s="3932"/>
      <c r="W5" s="3932"/>
      <c r="X5" s="1355"/>
      <c r="Y5" s="3928"/>
      <c r="Z5" s="3929"/>
      <c r="AA5" s="3914"/>
      <c r="AB5" s="3914"/>
      <c r="AC5" s="3914"/>
    </row>
    <row r="6" spans="1:29" ht="15.75" thickBot="1">
      <c r="A6" s="360"/>
      <c r="B6" s="361"/>
      <c r="C6" s="3933" t="s">
        <v>1675</v>
      </c>
      <c r="D6" s="3934"/>
      <c r="E6" s="3940" t="s">
        <v>1675</v>
      </c>
      <c r="F6" s="3941"/>
      <c r="G6" s="3933" t="s">
        <v>1675</v>
      </c>
      <c r="H6" s="3934"/>
      <c r="I6" s="3933" t="s">
        <v>1675</v>
      </c>
      <c r="J6" s="3934"/>
      <c r="K6" s="559" t="s">
        <v>1676</v>
      </c>
      <c r="L6" s="2715"/>
      <c r="M6" s="2716"/>
      <c r="N6" s="2716"/>
      <c r="O6" s="2716"/>
      <c r="P6" s="3924"/>
      <c r="Q6" s="3925"/>
      <c r="R6" s="3928"/>
      <c r="S6" s="3929"/>
      <c r="T6" s="3930"/>
      <c r="U6" s="3931"/>
      <c r="V6" s="3932"/>
      <c r="W6" s="3932"/>
      <c r="X6" s="1355"/>
      <c r="Y6" s="3930"/>
      <c r="Z6" s="3931"/>
      <c r="AA6" s="3915"/>
      <c r="AB6" s="3915"/>
      <c r="AC6" s="3915"/>
    </row>
    <row r="7" spans="1:29" s="108" customFormat="1" ht="15.75" thickBot="1">
      <c r="A7" s="362" t="s">
        <v>1677</v>
      </c>
      <c r="B7" s="363"/>
      <c r="C7" s="364">
        <f>'数据-取费表'!B2</f>
        <v>45400</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937" t="s">
        <v>1678</v>
      </c>
      <c r="Q7" s="3939"/>
      <c r="R7" s="701" t="s">
        <v>14</v>
      </c>
      <c r="S7" s="702">
        <f t="shared" ref="S7:S14" si="0">F7</f>
        <v>0</v>
      </c>
      <c r="T7" s="701" t="s">
        <v>14</v>
      </c>
      <c r="U7" s="702">
        <f t="shared" ref="U7:U14" si="1">H7</f>
        <v>0</v>
      </c>
      <c r="V7" s="701" t="s">
        <v>14</v>
      </c>
      <c r="W7" s="702">
        <f t="shared" ref="W7:W14" si="2">J7</f>
        <v>0</v>
      </c>
      <c r="X7" s="703"/>
      <c r="Y7" s="3937" t="s">
        <v>1678</v>
      </c>
      <c r="Z7" s="3938"/>
      <c r="AA7" s="704" t="e">
        <f>D7/F7</f>
        <v>#DIV/0!</v>
      </c>
      <c r="AB7" s="704" t="e">
        <f>D7/H7</f>
        <v>#DIV/0!</v>
      </c>
      <c r="AC7" s="704" t="e">
        <f>D7/J7</f>
        <v>#DIV/0!</v>
      </c>
    </row>
    <row r="8" spans="1:29" s="108" customFormat="1" ht="15.75" thickBot="1">
      <c r="A8" s="362" t="s">
        <v>1679</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937" t="s">
        <v>1681</v>
      </c>
      <c r="Q8" s="3938"/>
      <c r="R8" s="701" t="s">
        <v>14</v>
      </c>
      <c r="S8" s="702">
        <f t="shared" si="0"/>
        <v>100</v>
      </c>
      <c r="T8" s="701" t="s">
        <v>14</v>
      </c>
      <c r="U8" s="702">
        <f t="shared" si="1"/>
        <v>100</v>
      </c>
      <c r="V8" s="701" t="s">
        <v>14</v>
      </c>
      <c r="W8" s="702">
        <f t="shared" si="2"/>
        <v>100</v>
      </c>
      <c r="X8" s="703"/>
      <c r="Y8" s="3937" t="s">
        <v>1681</v>
      </c>
      <c r="Z8" s="3938"/>
      <c r="AA8" s="704">
        <f t="shared" ref="AA8:AA34" si="3">D8/F8</f>
        <v>1</v>
      </c>
      <c r="AB8" s="704">
        <f t="shared" ref="AB8:AB34" si="4">D8/H8</f>
        <v>1</v>
      </c>
      <c r="AC8" s="704">
        <f t="shared" ref="AC8:AC34" si="5">D8/J8</f>
        <v>1</v>
      </c>
    </row>
    <row r="9" spans="1:29" s="108" customFormat="1">
      <c r="A9" s="369" t="s">
        <v>1682</v>
      </c>
      <c r="B9" s="63" t="s">
        <v>1683</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901" t="s">
        <v>1684</v>
      </c>
      <c r="Q9" s="1343" t="str">
        <f t="shared" ref="Q9:Q14" si="6">B9</f>
        <v>用途</v>
      </c>
      <c r="R9" s="701" t="s">
        <v>14</v>
      </c>
      <c r="S9" s="702">
        <f t="shared" si="0"/>
        <v>100</v>
      </c>
      <c r="T9" s="701" t="s">
        <v>14</v>
      </c>
      <c r="U9" s="702">
        <f t="shared" si="1"/>
        <v>100</v>
      </c>
      <c r="V9" s="701" t="s">
        <v>14</v>
      </c>
      <c r="W9" s="702">
        <f t="shared" si="2"/>
        <v>100</v>
      </c>
      <c r="X9" s="703"/>
      <c r="Y9" s="3757" t="s">
        <v>1685</v>
      </c>
      <c r="Z9" s="52" t="str">
        <f t="shared" ref="Z9:Z14" si="7">Q9</f>
        <v>用途</v>
      </c>
      <c r="AA9" s="704">
        <f t="shared" si="3"/>
        <v>1</v>
      </c>
      <c r="AB9" s="704">
        <f t="shared" si="4"/>
        <v>1</v>
      </c>
      <c r="AC9" s="704">
        <f t="shared" si="5"/>
        <v>1</v>
      </c>
    </row>
    <row r="10" spans="1:29" s="378" customFormat="1" ht="27">
      <c r="A10" s="374"/>
      <c r="B10" s="375" t="s">
        <v>1686</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901"/>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901"/>
      <c r="Q11" s="1343">
        <f t="shared" si="6"/>
        <v>111</v>
      </c>
      <c r="R11" s="701" t="s">
        <v>14</v>
      </c>
      <c r="S11" s="702">
        <f t="shared" si="0"/>
        <v>100</v>
      </c>
      <c r="T11" s="701" t="s">
        <v>14</v>
      </c>
      <c r="U11" s="702">
        <f t="shared" si="1"/>
        <v>100</v>
      </c>
      <c r="V11" s="701" t="s">
        <v>14</v>
      </c>
      <c r="W11" s="702">
        <f t="shared" si="2"/>
        <v>100</v>
      </c>
      <c r="X11" s="703"/>
      <c r="Y11" s="3757"/>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901"/>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901"/>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704">
        <f t="shared" si="5"/>
        <v>1</v>
      </c>
    </row>
    <row r="14" spans="1:29" ht="85.5">
      <c r="A14" s="391" t="s">
        <v>1688</v>
      </c>
      <c r="B14" s="61" t="s">
        <v>1831</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903" t="s">
        <v>1689</v>
      </c>
      <c r="Q14" s="1352" t="str">
        <f t="shared" si="6"/>
        <v>交通便捷度</v>
      </c>
      <c r="R14" s="705" t="s">
        <v>14</v>
      </c>
      <c r="S14" s="706">
        <f t="shared" si="0"/>
        <v>100</v>
      </c>
      <c r="T14" s="705" t="s">
        <v>14</v>
      </c>
      <c r="U14" s="706">
        <f t="shared" si="1"/>
        <v>100</v>
      </c>
      <c r="V14" s="705" t="s">
        <v>14</v>
      </c>
      <c r="W14" s="706">
        <f t="shared" si="2"/>
        <v>100</v>
      </c>
      <c r="X14" s="1355"/>
      <c r="Y14" s="3903" t="s">
        <v>1689</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904"/>
      <c r="Q15" s="1352"/>
      <c r="R15" s="705"/>
      <c r="S15" s="706"/>
      <c r="T15" s="705"/>
      <c r="U15" s="706"/>
      <c r="V15" s="705"/>
      <c r="W15" s="706"/>
      <c r="X15" s="1355"/>
      <c r="Y15" s="3904"/>
      <c r="Z15" s="1356"/>
      <c r="AA15" s="1353">
        <v>1</v>
      </c>
      <c r="AB15" s="1353">
        <v>1</v>
      </c>
      <c r="AC15" s="1353">
        <v>1</v>
      </c>
    </row>
    <row r="16" spans="1:29" ht="42.75">
      <c r="A16" s="379"/>
      <c r="B16" s="402" t="s">
        <v>1810</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904"/>
      <c r="Q16" s="1352" t="str">
        <f>B16</f>
        <v>公共配套设施</v>
      </c>
      <c r="R16" s="705" t="s">
        <v>14</v>
      </c>
      <c r="S16" s="706">
        <f>F16</f>
        <v>100</v>
      </c>
      <c r="T16" s="705" t="s">
        <v>14</v>
      </c>
      <c r="U16" s="706">
        <f>H16</f>
        <v>100</v>
      </c>
      <c r="V16" s="705" t="s">
        <v>14</v>
      </c>
      <c r="W16" s="706">
        <f>J16</f>
        <v>100</v>
      </c>
      <c r="X16" s="1355"/>
      <c r="Y16" s="3904"/>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904"/>
      <c r="Q17" s="1352"/>
      <c r="R17" s="705"/>
      <c r="S17" s="706"/>
      <c r="T17" s="705"/>
      <c r="U17" s="706"/>
      <c r="V17" s="705"/>
      <c r="W17" s="706"/>
      <c r="X17" s="1355"/>
      <c r="Y17" s="3904"/>
      <c r="Z17" s="1356"/>
      <c r="AA17" s="1353">
        <v>1</v>
      </c>
      <c r="AB17" s="1353">
        <v>1</v>
      </c>
      <c r="AC17" s="1353">
        <v>1</v>
      </c>
    </row>
    <row r="18" spans="1:29" ht="28.5">
      <c r="A18" s="379"/>
      <c r="B18" s="1131" t="s">
        <v>1811</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904"/>
      <c r="Q18" s="1352" t="str">
        <f>B18</f>
        <v>基础设施水平</v>
      </c>
      <c r="R18" s="705" t="s">
        <v>14</v>
      </c>
      <c r="S18" s="706">
        <f>F18</f>
        <v>100</v>
      </c>
      <c r="T18" s="705" t="s">
        <v>14</v>
      </c>
      <c r="U18" s="706">
        <f>H18</f>
        <v>100</v>
      </c>
      <c r="V18" s="705" t="s">
        <v>14</v>
      </c>
      <c r="W18" s="706">
        <f>J18</f>
        <v>100</v>
      </c>
      <c r="X18" s="1355"/>
      <c r="Y18" s="3904"/>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904"/>
      <c r="Q19" s="1352"/>
      <c r="R19" s="705"/>
      <c r="S19" s="706"/>
      <c r="T19" s="705"/>
      <c r="U19" s="706"/>
      <c r="V19" s="705"/>
      <c r="W19" s="706"/>
      <c r="X19" s="1355"/>
      <c r="Y19" s="3904"/>
      <c r="Z19" s="1356"/>
      <c r="AA19" s="1353">
        <v>1</v>
      </c>
      <c r="AB19" s="1353">
        <v>1</v>
      </c>
      <c r="AC19" s="1353">
        <v>1</v>
      </c>
    </row>
    <row r="20" spans="1:29" ht="57">
      <c r="A20" s="379"/>
      <c r="B20" s="402" t="s">
        <v>1832</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904"/>
      <c r="Q20" s="1352" t="str">
        <f>B20</f>
        <v>自然及人文环境</v>
      </c>
      <c r="R20" s="705" t="s">
        <v>14</v>
      </c>
      <c r="S20" s="706">
        <f>F20</f>
        <v>100</v>
      </c>
      <c r="T20" s="705" t="s">
        <v>14</v>
      </c>
      <c r="U20" s="706">
        <f>H20</f>
        <v>100</v>
      </c>
      <c r="V20" s="705" t="s">
        <v>14</v>
      </c>
      <c r="W20" s="706">
        <f>J20</f>
        <v>100</v>
      </c>
      <c r="X20" s="1355"/>
      <c r="Y20" s="3904"/>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904"/>
      <c r="Q21" s="1352"/>
      <c r="R21" s="705"/>
      <c r="S21" s="706"/>
      <c r="T21" s="705"/>
      <c r="U21" s="706"/>
      <c r="V21" s="705"/>
      <c r="W21" s="706"/>
      <c r="X21" s="1355"/>
      <c r="Y21" s="3904"/>
      <c r="Z21" s="1356"/>
      <c r="AA21" s="1353">
        <v>1</v>
      </c>
      <c r="AB21" s="1353">
        <v>1</v>
      </c>
      <c r="AC21" s="1353">
        <v>1</v>
      </c>
    </row>
    <row r="22" spans="1:29" ht="15">
      <c r="A22" s="379"/>
      <c r="B22" s="402" t="s">
        <v>1833</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904"/>
      <c r="Q22" s="1352" t="str">
        <f>B22</f>
        <v>楼层</v>
      </c>
      <c r="R22" s="705" t="s">
        <v>14</v>
      </c>
      <c r="S22" s="706">
        <f>F22</f>
        <v>100</v>
      </c>
      <c r="T22" s="705" t="s">
        <v>14</v>
      </c>
      <c r="U22" s="706">
        <f>H22</f>
        <v>100</v>
      </c>
      <c r="V22" s="705" t="s">
        <v>14</v>
      </c>
      <c r="W22" s="706">
        <f>J22</f>
        <v>100</v>
      </c>
      <c r="X22" s="1355"/>
      <c r="Y22" s="3904"/>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904"/>
      <c r="Q23" s="1352">
        <f>B23</f>
        <v>111</v>
      </c>
      <c r="R23" s="705" t="s">
        <v>14</v>
      </c>
      <c r="S23" s="706">
        <f>F23</f>
        <v>100</v>
      </c>
      <c r="T23" s="705" t="s">
        <v>14</v>
      </c>
      <c r="U23" s="706">
        <f>H23</f>
        <v>100</v>
      </c>
      <c r="V23" s="705" t="s">
        <v>14</v>
      </c>
      <c r="W23" s="706">
        <f>J23</f>
        <v>100</v>
      </c>
      <c r="X23" s="1355"/>
      <c r="Y23" s="3904"/>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904"/>
      <c r="Q24" s="1352">
        <f t="shared" ref="Q24:Q34" si="11">B24</f>
        <v>111</v>
      </c>
      <c r="R24" s="705" t="s">
        <v>14</v>
      </c>
      <c r="S24" s="706">
        <f>F24</f>
        <v>100</v>
      </c>
      <c r="T24" s="705" t="s">
        <v>14</v>
      </c>
      <c r="U24" s="706">
        <f>H24</f>
        <v>100</v>
      </c>
      <c r="V24" s="705" t="s">
        <v>14</v>
      </c>
      <c r="W24" s="706">
        <f>J24</f>
        <v>100</v>
      </c>
      <c r="X24" s="1355"/>
      <c r="Y24" s="3904"/>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904"/>
      <c r="Q25" s="1343">
        <f t="shared" si="11"/>
        <v>111</v>
      </c>
      <c r="R25" s="701" t="s">
        <v>14</v>
      </c>
      <c r="S25" s="702">
        <f>F25</f>
        <v>100</v>
      </c>
      <c r="T25" s="701" t="s">
        <v>14</v>
      </c>
      <c r="U25" s="702">
        <f>H25</f>
        <v>100</v>
      </c>
      <c r="V25" s="701" t="s">
        <v>14</v>
      </c>
      <c r="W25" s="702">
        <f>J25</f>
        <v>100</v>
      </c>
      <c r="X25" s="703"/>
      <c r="Y25" s="3904"/>
      <c r="Z25" s="52">
        <f>Q25</f>
        <v>111</v>
      </c>
      <c r="AA25" s="1353">
        <f>D25/F25</f>
        <v>1</v>
      </c>
      <c r="AB25" s="1353">
        <f>D25/H25</f>
        <v>1</v>
      </c>
      <c r="AC25" s="1353">
        <f>D25/J25</f>
        <v>1</v>
      </c>
    </row>
    <row r="26" spans="1:29" ht="28.5">
      <c r="A26" s="417" t="s">
        <v>1692</v>
      </c>
      <c r="B26" s="63" t="s">
        <v>1836</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961" t="s">
        <v>1694</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908" t="s">
        <v>1694</v>
      </c>
      <c r="Z26" s="1356" t="str">
        <f t="shared" ref="Z26:Z34" si="15">Q26</f>
        <v>公共部分装修</v>
      </c>
      <c r="AA26" s="1353">
        <f t="shared" si="3"/>
        <v>1</v>
      </c>
      <c r="AB26" s="1353">
        <f t="shared" si="4"/>
        <v>1</v>
      </c>
      <c r="AC26" s="1353">
        <f t="shared" si="5"/>
        <v>1</v>
      </c>
    </row>
    <row r="27" spans="1:29" s="422" customFormat="1" ht="15">
      <c r="A27" s="419"/>
      <c r="B27" s="375" t="s">
        <v>1837</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908"/>
      <c r="Q27" s="707" t="str">
        <f t="shared" si="11"/>
        <v>成新率</v>
      </c>
      <c r="R27" s="708" t="s">
        <v>14</v>
      </c>
      <c r="S27" s="709" t="e">
        <f t="shared" si="12"/>
        <v>#N/A</v>
      </c>
      <c r="T27" s="708" t="s">
        <v>14</v>
      </c>
      <c r="U27" s="709" t="e">
        <f t="shared" si="13"/>
        <v>#N/A</v>
      </c>
      <c r="V27" s="708" t="s">
        <v>14</v>
      </c>
      <c r="W27" s="709" t="e">
        <f t="shared" si="14"/>
        <v>#N/A</v>
      </c>
      <c r="X27" s="710"/>
      <c r="Y27" s="3908"/>
      <c r="Z27" s="711" t="str">
        <f t="shared" si="15"/>
        <v>成新率</v>
      </c>
      <c r="AA27" s="1353" t="e">
        <f t="shared" si="3"/>
        <v>#N/A</v>
      </c>
      <c r="AB27" s="1353" t="e">
        <f t="shared" si="4"/>
        <v>#N/A</v>
      </c>
      <c r="AC27" s="1353" t="e">
        <f t="shared" si="5"/>
        <v>#N/A</v>
      </c>
    </row>
    <row r="28" spans="1:29" ht="15">
      <c r="A28" s="423"/>
      <c r="B28" s="375" t="s">
        <v>1838</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908"/>
      <c r="Q28" s="1352" t="str">
        <f t="shared" si="11"/>
        <v>物业等级</v>
      </c>
      <c r="R28" s="705" t="s">
        <v>14</v>
      </c>
      <c r="S28" s="706">
        <f t="shared" si="12"/>
        <v>100</v>
      </c>
      <c r="T28" s="705" t="s">
        <v>14</v>
      </c>
      <c r="U28" s="706">
        <f t="shared" si="13"/>
        <v>100</v>
      </c>
      <c r="V28" s="705" t="s">
        <v>14</v>
      </c>
      <c r="W28" s="706">
        <f t="shared" si="14"/>
        <v>100</v>
      </c>
      <c r="X28" s="1355"/>
      <c r="Y28" s="3908"/>
      <c r="Z28" s="1356" t="str">
        <f t="shared" si="15"/>
        <v>物业等级</v>
      </c>
      <c r="AA28" s="1353">
        <f t="shared" si="3"/>
        <v>1</v>
      </c>
      <c r="AB28" s="1353">
        <f t="shared" si="4"/>
        <v>1</v>
      </c>
      <c r="AC28" s="1353">
        <f t="shared" si="5"/>
        <v>1</v>
      </c>
    </row>
    <row r="29" spans="1:29" ht="15">
      <c r="A29" s="423"/>
      <c r="B29" s="375" t="s">
        <v>1858</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908"/>
      <c r="Q29" s="1352" t="str">
        <f t="shared" si="11"/>
        <v>有无电梯</v>
      </c>
      <c r="R29" s="705" t="s">
        <v>14</v>
      </c>
      <c r="S29" s="706">
        <f t="shared" si="12"/>
        <v>100</v>
      </c>
      <c r="T29" s="705" t="s">
        <v>14</v>
      </c>
      <c r="U29" s="706">
        <f t="shared" si="13"/>
        <v>100</v>
      </c>
      <c r="V29" s="705" t="s">
        <v>14</v>
      </c>
      <c r="W29" s="706">
        <f t="shared" si="14"/>
        <v>100</v>
      </c>
      <c r="X29" s="1355"/>
      <c r="Y29" s="3908"/>
      <c r="Z29" s="1356" t="str">
        <f t="shared" si="15"/>
        <v>有无电梯</v>
      </c>
      <c r="AA29" s="1353">
        <f t="shared" si="3"/>
        <v>1</v>
      </c>
      <c r="AB29" s="1353">
        <f t="shared" si="4"/>
        <v>1</v>
      </c>
      <c r="AC29" s="1353">
        <f t="shared" si="5"/>
        <v>1</v>
      </c>
    </row>
    <row r="30" spans="1:29" ht="15">
      <c r="A30" s="423"/>
      <c r="B30" s="375" t="s">
        <v>1859</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908"/>
      <c r="Q30" s="1352" t="str">
        <f t="shared" si="11"/>
        <v>建筑面积</v>
      </c>
      <c r="R30" s="705" t="s">
        <v>14</v>
      </c>
      <c r="S30" s="706" t="e">
        <f t="shared" si="12"/>
        <v>#N/A</v>
      </c>
      <c r="T30" s="705" t="s">
        <v>14</v>
      </c>
      <c r="U30" s="706" t="e">
        <f t="shared" si="13"/>
        <v>#N/A</v>
      </c>
      <c r="V30" s="705" t="s">
        <v>14</v>
      </c>
      <c r="W30" s="706" t="e">
        <f t="shared" si="14"/>
        <v>#N/A</v>
      </c>
      <c r="X30" s="1355"/>
      <c r="Y30" s="3908"/>
      <c r="Z30" s="1356" t="str">
        <f t="shared" si="15"/>
        <v>建筑面积</v>
      </c>
      <c r="AA30" s="1353" t="e">
        <f t="shared" si="3"/>
        <v>#N/A</v>
      </c>
      <c r="AB30" s="1353" t="e">
        <f t="shared" si="4"/>
        <v>#N/A</v>
      </c>
      <c r="AC30" s="1353" t="e">
        <f t="shared" si="5"/>
        <v>#N/A</v>
      </c>
    </row>
    <row r="31" spans="1:29" s="108" customFormat="1" ht="15">
      <c r="A31" s="424"/>
      <c r="B31" s="375" t="s">
        <v>1860</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908"/>
      <c r="Q31" s="1343" t="str">
        <f t="shared" si="11"/>
        <v>是否封闭</v>
      </c>
      <c r="R31" s="701" t="s">
        <v>14</v>
      </c>
      <c r="S31" s="702">
        <f t="shared" si="12"/>
        <v>100</v>
      </c>
      <c r="T31" s="701" t="s">
        <v>14</v>
      </c>
      <c r="U31" s="702">
        <f t="shared" si="13"/>
        <v>100</v>
      </c>
      <c r="V31" s="701" t="s">
        <v>14</v>
      </c>
      <c r="W31" s="702">
        <f t="shared" si="14"/>
        <v>100</v>
      </c>
      <c r="X31" s="703"/>
      <c r="Y31" s="3908"/>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908" t="s">
        <v>1694</v>
      </c>
      <c r="Q32" s="1352">
        <f t="shared" si="11"/>
        <v>111</v>
      </c>
      <c r="R32" s="705" t="s">
        <v>14</v>
      </c>
      <c r="S32" s="706">
        <f t="shared" si="12"/>
        <v>100</v>
      </c>
      <c r="T32" s="705" t="s">
        <v>14</v>
      </c>
      <c r="U32" s="706">
        <f t="shared" si="13"/>
        <v>100</v>
      </c>
      <c r="V32" s="705" t="s">
        <v>14</v>
      </c>
      <c r="W32" s="706">
        <f t="shared" si="14"/>
        <v>100</v>
      </c>
      <c r="X32" s="1355"/>
      <c r="Y32" s="3908" t="s">
        <v>1694</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908"/>
      <c r="Q33" s="1352">
        <f t="shared" si="11"/>
        <v>111</v>
      </c>
      <c r="R33" s="705" t="s">
        <v>14</v>
      </c>
      <c r="S33" s="706">
        <f t="shared" si="12"/>
        <v>100</v>
      </c>
      <c r="T33" s="705" t="s">
        <v>14</v>
      </c>
      <c r="U33" s="706">
        <f t="shared" si="13"/>
        <v>100</v>
      </c>
      <c r="V33" s="705" t="s">
        <v>14</v>
      </c>
      <c r="W33" s="706">
        <f t="shared" si="14"/>
        <v>100</v>
      </c>
      <c r="X33" s="1355"/>
      <c r="Y33" s="3908"/>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908"/>
      <c r="Q34" s="1352">
        <f t="shared" si="11"/>
        <v>111</v>
      </c>
      <c r="R34" s="705" t="s">
        <v>14</v>
      </c>
      <c r="S34" s="706">
        <f t="shared" si="12"/>
        <v>100</v>
      </c>
      <c r="T34" s="705" t="s">
        <v>14</v>
      </c>
      <c r="U34" s="706">
        <f t="shared" si="13"/>
        <v>100</v>
      </c>
      <c r="V34" s="705" t="s">
        <v>14</v>
      </c>
      <c r="W34" s="706">
        <f t="shared" si="14"/>
        <v>100</v>
      </c>
      <c r="X34" s="1355"/>
      <c r="Y34" s="3908"/>
      <c r="Z34" s="1356">
        <f t="shared" si="15"/>
        <v>111</v>
      </c>
      <c r="AA34" s="1353">
        <f t="shared" si="3"/>
        <v>1</v>
      </c>
      <c r="AB34" s="1353">
        <f t="shared" si="4"/>
        <v>1</v>
      </c>
      <c r="AC34" s="1353">
        <f t="shared" si="5"/>
        <v>1</v>
      </c>
    </row>
    <row r="35" spans="1:30" ht="15">
      <c r="A35" s="430" t="s">
        <v>1706</v>
      </c>
      <c r="B35" s="431"/>
      <c r="C35" s="1154" t="s">
        <v>0</v>
      </c>
      <c r="D35" s="1155"/>
      <c r="E35" s="1156"/>
      <c r="F35" s="1157"/>
      <c r="G35" s="1158"/>
      <c r="H35" s="1159"/>
      <c r="I35" s="1156"/>
      <c r="J35" s="1159"/>
      <c r="K35" s="714"/>
      <c r="L35" s="2724"/>
      <c r="M35" s="2725"/>
      <c r="N35" s="2716"/>
      <c r="O35" s="2725"/>
      <c r="P35" s="3901" t="str">
        <f>A35</f>
        <v>成交单价（元/平方米）</v>
      </c>
      <c r="Q35" s="3901"/>
      <c r="R35" s="3902">
        <f>E35</f>
        <v>0</v>
      </c>
      <c r="S35" s="3902"/>
      <c r="T35" s="3902">
        <f>G35</f>
        <v>0</v>
      </c>
      <c r="U35" s="3902"/>
      <c r="V35" s="3902">
        <f>I35</f>
        <v>0</v>
      </c>
      <c r="W35" s="3902"/>
      <c r="X35" s="690"/>
      <c r="Y35" s="712"/>
      <c r="Z35" s="690"/>
      <c r="AA35" s="690"/>
      <c r="AB35" s="690"/>
      <c r="AC35" s="690"/>
    </row>
    <row r="36" spans="1:30" ht="15.75" thickBot="1">
      <c r="A36" s="437" t="s">
        <v>1791</v>
      </c>
      <c r="B36" s="438"/>
      <c r="C36" s="1160" t="e">
        <f>R37</f>
        <v>#DIV/0!</v>
      </c>
      <c r="D36" s="2317" t="s">
        <v>2135</v>
      </c>
      <c r="E36" s="1161" t="e">
        <f>R36</f>
        <v>#DIV/0!</v>
      </c>
      <c r="F36" s="2318"/>
      <c r="G36" s="1160" t="e">
        <f>T36</f>
        <v>#DIV/0!</v>
      </c>
      <c r="H36" s="2318"/>
      <c r="I36" s="1161" t="e">
        <f>V36</f>
        <v>#DIV/0!</v>
      </c>
      <c r="J36" s="2318"/>
      <c r="K36" s="2320">
        <f>F36+H36+J36</f>
        <v>0</v>
      </c>
      <c r="L36" s="2724"/>
      <c r="M36" s="2725"/>
      <c r="N36" s="2716"/>
      <c r="O36" s="2725"/>
      <c r="P36" s="3901" t="str">
        <f>A36</f>
        <v>比较价值（元/平方米）</v>
      </c>
      <c r="Q36" s="3901"/>
      <c r="R36" s="3902" t="e">
        <f>IF(F1="售价",ROUND(PRODUCT(R35,AA7:AA34),0),ROUND(PRODUCT(R35,AA7:AA34),1))</f>
        <v>#DIV/0!</v>
      </c>
      <c r="S36" s="3902"/>
      <c r="T36" s="3902" t="e">
        <f>IF(F1="售价",ROUND(PRODUCT(T35,AB7:AB34),0),ROUND(PRODUCT(T35,AB7:AB34),1))</f>
        <v>#DIV/0!</v>
      </c>
      <c r="U36" s="3902"/>
      <c r="V36" s="3902" t="e">
        <f>IF(F1="售价",ROUND(PRODUCT(V35,AC7:AC34),0),ROUND(PRODUCT(V35,AC7:AC34),1))</f>
        <v>#DIV/0!</v>
      </c>
      <c r="W36" s="3902"/>
      <c r="X36" s="690"/>
      <c r="Y36" s="690"/>
      <c r="Z36" s="690"/>
      <c r="AA36" s="690"/>
      <c r="AB36" s="690"/>
      <c r="AC36" s="690"/>
    </row>
    <row r="37" spans="1:30" ht="15.75" thickBot="1">
      <c r="A37" s="441" t="s">
        <v>1792</v>
      </c>
      <c r="B37" s="442"/>
      <c r="C37" s="1163" t="e">
        <f>R37</f>
        <v>#DIV/0!</v>
      </c>
      <c r="D37" s="1163"/>
      <c r="E37" s="1163"/>
      <c r="F37" s="1163"/>
      <c r="G37" s="1163"/>
      <c r="H37" s="1163"/>
      <c r="I37" s="1163"/>
      <c r="J37" s="1163"/>
      <c r="K37" s="715"/>
      <c r="L37" s="2724"/>
      <c r="M37" s="2725"/>
      <c r="N37" s="2725"/>
      <c r="O37" s="2725"/>
      <c r="P37" s="3898" t="str">
        <f>A37</f>
        <v>估价对象XX用房的比较价值（楼面单价，元/平方米）</v>
      </c>
      <c r="Q37" s="3899"/>
      <c r="R37" s="3962" t="e">
        <f>IF(F1="售价",ROUND(IF(D36="简单平均",AVERAGE(R36:W36),R36*F36+T36*H36+V36*J36),0),ROUND(IF(D36="简单平均",AVERAGE(R36:V36),R36*F36+T36*H36+V36*J36),1))</f>
        <v>#DIV/0!</v>
      </c>
      <c r="S37" s="3962"/>
      <c r="T37" s="3962"/>
      <c r="U37" s="3962"/>
      <c r="V37" s="3962"/>
      <c r="W37" s="3962"/>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1793</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1794</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1795</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1796</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1677</v>
      </c>
      <c r="B46" s="455"/>
      <c r="C46" s="1184" t="str">
        <f>YEAR(C7)&amp;"-"&amp;MONTH(C7)</f>
        <v>2024-4</v>
      </c>
      <c r="D46" s="1185">
        <f>EDATE(C46,-1)</f>
        <v>45352</v>
      </c>
      <c r="E46" s="1185">
        <f t="shared" ref="E46:O46" si="16">EDATE(D46,-1)</f>
        <v>45323</v>
      </c>
      <c r="F46" s="1185">
        <f t="shared" si="16"/>
        <v>45292</v>
      </c>
      <c r="G46" s="1185">
        <f t="shared" si="16"/>
        <v>45261</v>
      </c>
      <c r="H46" s="1185">
        <f t="shared" si="16"/>
        <v>45231</v>
      </c>
      <c r="I46" s="1185">
        <f t="shared" si="16"/>
        <v>45200</v>
      </c>
      <c r="J46" s="1185">
        <f t="shared" si="16"/>
        <v>45170</v>
      </c>
      <c r="K46" s="1185">
        <f t="shared" si="16"/>
        <v>45139</v>
      </c>
      <c r="L46" s="1185">
        <f t="shared" si="16"/>
        <v>45108</v>
      </c>
      <c r="M46" s="1185">
        <f t="shared" si="16"/>
        <v>45078</v>
      </c>
      <c r="N46" s="1185">
        <f t="shared" si="16"/>
        <v>45047</v>
      </c>
      <c r="O46" s="1185">
        <f t="shared" si="16"/>
        <v>45017</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1714</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1679</v>
      </c>
      <c r="B49" s="459"/>
      <c r="C49" s="471" t="s">
        <v>1774</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1717</v>
      </c>
      <c r="B51" s="477" t="s">
        <v>1683</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1686</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1688</v>
      </c>
      <c r="B61" s="477" t="s">
        <v>1724</v>
      </c>
      <c r="C61" s="522" t="s">
        <v>1719</v>
      </c>
      <c r="D61" s="522" t="s">
        <v>1720</v>
      </c>
      <c r="E61" s="522" t="s">
        <v>1721</v>
      </c>
      <c r="F61" s="522" t="s">
        <v>1722</v>
      </c>
      <c r="G61" s="522" t="s">
        <v>1723</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1861</v>
      </c>
      <c r="C63" s="527" t="s">
        <v>1719</v>
      </c>
      <c r="D63" s="527" t="s">
        <v>1720</v>
      </c>
      <c r="E63" s="527" t="s">
        <v>1721</v>
      </c>
      <c r="F63" s="527" t="s">
        <v>1722</v>
      </c>
      <c r="G63" s="527" t="s">
        <v>1723</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1811</v>
      </c>
      <c r="C65" s="608" t="s">
        <v>1797</v>
      </c>
      <c r="D65" s="608" t="s">
        <v>1798</v>
      </c>
      <c r="E65" s="608" t="s">
        <v>1799</v>
      </c>
      <c r="F65" s="608" t="s">
        <v>1800</v>
      </c>
      <c r="G65" s="608" t="s">
        <v>1801</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1731</v>
      </c>
      <c r="C67" s="527" t="s">
        <v>1719</v>
      </c>
      <c r="D67" s="527" t="s">
        <v>1720</v>
      </c>
      <c r="E67" s="527" t="s">
        <v>1721</v>
      </c>
      <c r="F67" s="527" t="s">
        <v>1722</v>
      </c>
      <c r="G67" s="527" t="s">
        <v>1723</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1850</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1692</v>
      </c>
      <c r="B77" s="477" t="s">
        <v>1738</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1853</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1854</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1862</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1863</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1864</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74" priority="18" stopIfTrue="1" operator="containsText" text="超过">
      <formula>NOT(ISERROR(SEARCH("超过",F40)))</formula>
    </cfRule>
  </conditionalFormatting>
  <conditionalFormatting sqref="J42">
    <cfRule type="containsText" dxfId="73" priority="17" stopIfTrue="1" operator="containsText" text="超过">
      <formula>NOT(ISERROR(SEARCH("超过",J42)))</formula>
    </cfRule>
  </conditionalFormatting>
  <conditionalFormatting sqref="H42">
    <cfRule type="containsText" dxfId="72" priority="16" stopIfTrue="1" operator="containsText" text="超过">
      <formula>NOT(ISERROR(SEARCH("超过",H42)))</formula>
    </cfRule>
  </conditionalFormatting>
  <conditionalFormatting sqref="F42">
    <cfRule type="containsText" dxfId="71" priority="15" stopIfTrue="1" operator="containsText" text="超过">
      <formula>NOT(ISERROR(SEARCH("超过",F42)))</formula>
    </cfRule>
  </conditionalFormatting>
  <conditionalFormatting sqref="F41 H41 J41">
    <cfRule type="containsText" dxfId="70" priority="14" stopIfTrue="1" operator="containsText" text="超过">
      <formula>NOT(ISERROR(SEARCH("超过",F41)))</formula>
    </cfRule>
  </conditionalFormatting>
  <conditionalFormatting sqref="E40">
    <cfRule type="expression" dxfId="69" priority="13" stopIfTrue="1">
      <formula>$F$40="超过30%"</formula>
    </cfRule>
  </conditionalFormatting>
  <conditionalFormatting sqref="G42">
    <cfRule type="expression" dxfId="68" priority="12" stopIfTrue="1">
      <formula>$H$54+$H$42="超过30%"</formula>
    </cfRule>
  </conditionalFormatting>
  <conditionalFormatting sqref="E41">
    <cfRule type="expression" dxfId="67" priority="11" stopIfTrue="1">
      <formula>$F$41="超过20%"</formula>
    </cfRule>
  </conditionalFormatting>
  <conditionalFormatting sqref="E42">
    <cfRule type="expression" dxfId="66" priority="10" stopIfTrue="1">
      <formula>$F$42="超过30%"</formula>
    </cfRule>
  </conditionalFormatting>
  <conditionalFormatting sqref="G40">
    <cfRule type="expression" dxfId="65" priority="9" stopIfTrue="1">
      <formula>$H$52+$H$40="超过30%"</formula>
    </cfRule>
  </conditionalFormatting>
  <conditionalFormatting sqref="G41">
    <cfRule type="expression" dxfId="64" priority="8" stopIfTrue="1">
      <formula>$H$53+$H$41="超过20%"</formula>
    </cfRule>
  </conditionalFormatting>
  <conditionalFormatting sqref="I40">
    <cfRule type="expression" dxfId="63" priority="7" stopIfTrue="1">
      <formula>$J$40="超过30%"</formula>
    </cfRule>
  </conditionalFormatting>
  <conditionalFormatting sqref="I41">
    <cfRule type="expression" dxfId="62" priority="6" stopIfTrue="1">
      <formula>$J$41="超过20%"</formula>
    </cfRule>
  </conditionalFormatting>
  <conditionalFormatting sqref="I42">
    <cfRule type="expression" dxfId="61" priority="5" stopIfTrue="1">
      <formula>$J$42="超过30%"</formula>
    </cfRule>
  </conditionalFormatting>
  <conditionalFormatting sqref="F36">
    <cfRule type="expression" dxfId="60" priority="4">
      <formula>$D$36="简单平均"</formula>
    </cfRule>
  </conditionalFormatting>
  <conditionalFormatting sqref="H36">
    <cfRule type="expression" dxfId="59" priority="3">
      <formula>$D$36="简单平均"</formula>
    </cfRule>
  </conditionalFormatting>
  <conditionalFormatting sqref="J36">
    <cfRule type="expression" dxfId="58" priority="2">
      <formula>$D$36="简单平均"</formula>
    </cfRule>
  </conditionalFormatting>
  <conditionalFormatting sqref="F7:F34 H7:H34 J7:J34">
    <cfRule type="cellIs" dxfId="5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1865</v>
      </c>
      <c r="B1" s="349"/>
      <c r="C1" s="350" t="s">
        <v>1866</v>
      </c>
      <c r="D1" s="686"/>
      <c r="E1" s="686"/>
      <c r="F1" s="685" t="s">
        <v>1765</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1460</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1462</v>
      </c>
      <c r="B3" s="558" t="e">
        <f>ROUND(IF(D3="",B2*10000/'数据-汇总表'!E3,B2*10000/D3),0)</f>
        <v>#DIV/0!</v>
      </c>
      <c r="C3" s="203" t="s">
        <v>1867</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1767</v>
      </c>
      <c r="B4" s="356"/>
      <c r="C4" s="3916" t="s">
        <v>1768</v>
      </c>
      <c r="D4" s="3917"/>
      <c r="E4" s="3918" t="s">
        <v>1769</v>
      </c>
      <c r="F4" s="3919"/>
      <c r="G4" s="3916" t="s">
        <v>1770</v>
      </c>
      <c r="H4" s="3917"/>
      <c r="I4" s="3916" t="s">
        <v>1771</v>
      </c>
      <c r="J4" s="3917"/>
      <c r="K4" s="559" t="s">
        <v>1772</v>
      </c>
      <c r="L4" s="2715"/>
      <c r="M4" s="2716"/>
      <c r="N4" s="2716"/>
      <c r="O4" s="2716"/>
      <c r="P4" s="3920" t="s">
        <v>1773</v>
      </c>
      <c r="Q4" s="3921"/>
      <c r="R4" s="3926" t="s">
        <v>1769</v>
      </c>
      <c r="S4" s="3927"/>
      <c r="T4" s="3926" t="s">
        <v>1770</v>
      </c>
      <c r="U4" s="3927"/>
      <c r="V4" s="3932" t="s">
        <v>1771</v>
      </c>
      <c r="W4" s="3932"/>
      <c r="X4" s="1355"/>
      <c r="Y4" s="3926" t="s">
        <v>1773</v>
      </c>
      <c r="Z4" s="3927"/>
      <c r="AA4" s="3913" t="s">
        <v>1769</v>
      </c>
      <c r="AB4" s="3914" t="s">
        <v>1770</v>
      </c>
      <c r="AC4" s="3913" t="s">
        <v>1771</v>
      </c>
    </row>
    <row r="5" spans="1:30" ht="15">
      <c r="A5" s="358"/>
      <c r="B5" s="359"/>
      <c r="C5" s="3935" t="s">
        <v>1671</v>
      </c>
      <c r="D5" s="3936"/>
      <c r="E5" s="3942" t="s">
        <v>1672</v>
      </c>
      <c r="F5" s="3943"/>
      <c r="G5" s="3935" t="s">
        <v>1673</v>
      </c>
      <c r="H5" s="3936"/>
      <c r="I5" s="3935" t="s">
        <v>1674</v>
      </c>
      <c r="J5" s="3936"/>
      <c r="K5" s="559"/>
      <c r="L5" s="2715"/>
      <c r="M5" s="2716"/>
      <c r="N5" s="2716"/>
      <c r="O5" s="2716"/>
      <c r="P5" s="3922"/>
      <c r="Q5" s="3923"/>
      <c r="R5" s="3928"/>
      <c r="S5" s="3929"/>
      <c r="T5" s="3928"/>
      <c r="U5" s="3929"/>
      <c r="V5" s="3932"/>
      <c r="W5" s="3932"/>
      <c r="X5" s="1355"/>
      <c r="Y5" s="3928"/>
      <c r="Z5" s="3929"/>
      <c r="AA5" s="3914"/>
      <c r="AB5" s="3914"/>
      <c r="AC5" s="3914"/>
    </row>
    <row r="6" spans="1:30" ht="15.75" thickBot="1">
      <c r="A6" s="360"/>
      <c r="B6" s="361"/>
      <c r="C6" s="3933" t="s">
        <v>1675</v>
      </c>
      <c r="D6" s="3934"/>
      <c r="E6" s="3940" t="s">
        <v>1675</v>
      </c>
      <c r="F6" s="3941"/>
      <c r="G6" s="3933" t="s">
        <v>1675</v>
      </c>
      <c r="H6" s="3934"/>
      <c r="I6" s="3933" t="s">
        <v>1675</v>
      </c>
      <c r="J6" s="3934"/>
      <c r="K6" s="559" t="s">
        <v>1676</v>
      </c>
      <c r="L6" s="2715"/>
      <c r="M6" s="2716"/>
      <c r="N6" s="2716"/>
      <c r="O6" s="2716"/>
      <c r="P6" s="3924"/>
      <c r="Q6" s="3925"/>
      <c r="R6" s="3928"/>
      <c r="S6" s="3929"/>
      <c r="T6" s="3930"/>
      <c r="U6" s="3931"/>
      <c r="V6" s="3932"/>
      <c r="W6" s="3932"/>
      <c r="X6" s="1355"/>
      <c r="Y6" s="3930"/>
      <c r="Z6" s="3931"/>
      <c r="AA6" s="3915"/>
      <c r="AB6" s="3915"/>
      <c r="AC6" s="3915"/>
    </row>
    <row r="7" spans="1:30" s="108" customFormat="1" ht="15.75" thickBot="1">
      <c r="A7" s="362" t="s">
        <v>1677</v>
      </c>
      <c r="B7" s="363"/>
      <c r="C7" s="364">
        <f>'数据-取费表'!B2</f>
        <v>45400</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937" t="s">
        <v>1678</v>
      </c>
      <c r="Q7" s="3939"/>
      <c r="R7" s="701" t="s">
        <v>14</v>
      </c>
      <c r="S7" s="702">
        <f t="shared" ref="S7:S15" si="0">F7</f>
        <v>0</v>
      </c>
      <c r="T7" s="701" t="s">
        <v>14</v>
      </c>
      <c r="U7" s="702">
        <f t="shared" ref="U7:U15" si="1">H7</f>
        <v>0</v>
      </c>
      <c r="V7" s="701" t="s">
        <v>14</v>
      </c>
      <c r="W7" s="702">
        <f t="shared" ref="W7:W15" si="2">J7</f>
        <v>0</v>
      </c>
      <c r="X7" s="703"/>
      <c r="Y7" s="3937" t="s">
        <v>1678</v>
      </c>
      <c r="Z7" s="3938"/>
      <c r="AA7" s="704" t="e">
        <f>D7/F7</f>
        <v>#DIV/0!</v>
      </c>
      <c r="AB7" s="704" t="e">
        <f>D7/H7</f>
        <v>#DIV/0!</v>
      </c>
      <c r="AC7" s="704" t="e">
        <f>D7/J7</f>
        <v>#DIV/0!</v>
      </c>
    </row>
    <row r="8" spans="1:30" s="108" customFormat="1" ht="15.75" thickBot="1">
      <c r="A8" s="362" t="s">
        <v>1679</v>
      </c>
      <c r="B8" s="363"/>
      <c r="C8" s="368" t="s">
        <v>1680</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937" t="s">
        <v>1681</v>
      </c>
      <c r="Q8" s="3938"/>
      <c r="R8" s="701" t="s">
        <v>14</v>
      </c>
      <c r="S8" s="702">
        <f t="shared" si="0"/>
        <v>0</v>
      </c>
      <c r="T8" s="701" t="s">
        <v>14</v>
      </c>
      <c r="U8" s="702">
        <f t="shared" si="1"/>
        <v>0</v>
      </c>
      <c r="V8" s="701" t="s">
        <v>14</v>
      </c>
      <c r="W8" s="702">
        <f t="shared" si="2"/>
        <v>0</v>
      </c>
      <c r="X8" s="703"/>
      <c r="Y8" s="3937" t="s">
        <v>1681</v>
      </c>
      <c r="Z8" s="3938"/>
      <c r="AA8" s="704" t="e">
        <f t="shared" ref="AA8:AA45" si="3">D8/F8</f>
        <v>#DIV/0!</v>
      </c>
      <c r="AB8" s="704" t="e">
        <f t="shared" ref="AB8:AB45" si="4">D8/H8</f>
        <v>#DIV/0!</v>
      </c>
      <c r="AC8" s="704" t="e">
        <f t="shared" ref="AC8:AC45" si="5">D8/J8</f>
        <v>#DIV/0!</v>
      </c>
    </row>
    <row r="9" spans="1:30" s="108" customFormat="1">
      <c r="A9" s="369" t="s">
        <v>1682</v>
      </c>
      <c r="B9" s="63" t="s">
        <v>1683</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901"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704">
        <f t="shared" si="5"/>
        <v>1</v>
      </c>
    </row>
    <row r="10" spans="1:30" s="378" customFormat="1" ht="27">
      <c r="A10" s="374"/>
      <c r="B10" s="375" t="s">
        <v>1686</v>
      </c>
      <c r="C10" s="383"/>
      <c r="D10" s="127">
        <v>100</v>
      </c>
      <c r="E10" s="416"/>
      <c r="F10" s="127">
        <f>ROUND(100/'数据-取费表'!G16,0)</f>
        <v>101</v>
      </c>
      <c r="G10" s="414"/>
      <c r="H10" s="127">
        <f>ROUND(100/'数据-取费表'!G16,0)</f>
        <v>101</v>
      </c>
      <c r="I10" s="414"/>
      <c r="J10" s="127">
        <f>ROUND(100/'数据-取费表'!G16,0)</f>
        <v>101</v>
      </c>
      <c r="K10" s="620"/>
      <c r="L10" s="2719"/>
      <c r="M10" s="2720"/>
      <c r="N10" s="2720"/>
      <c r="O10" s="2773"/>
      <c r="P10" s="3901"/>
      <c r="Q10" s="1343" t="str">
        <f t="shared" si="6"/>
        <v>土地使用年限（年）</v>
      </c>
      <c r="R10" s="701" t="s">
        <v>14</v>
      </c>
      <c r="S10" s="702">
        <f t="shared" si="0"/>
        <v>101</v>
      </c>
      <c r="T10" s="701" t="s">
        <v>14</v>
      </c>
      <c r="U10" s="702">
        <f t="shared" si="1"/>
        <v>101</v>
      </c>
      <c r="V10" s="701" t="s">
        <v>14</v>
      </c>
      <c r="W10" s="702">
        <f t="shared" si="2"/>
        <v>101</v>
      </c>
      <c r="X10" s="703"/>
      <c r="Y10" s="3757"/>
      <c r="Z10" s="52" t="str">
        <f t="shared" si="7"/>
        <v>土地使用年限（年）</v>
      </c>
      <c r="AA10" s="704">
        <f t="shared" si="3"/>
        <v>0.99009900990099009</v>
      </c>
      <c r="AB10" s="704">
        <f t="shared" si="4"/>
        <v>0.99009900990099009</v>
      </c>
      <c r="AC10" s="704">
        <f t="shared" si="5"/>
        <v>0.99009900990099009</v>
      </c>
    </row>
    <row r="11" spans="1:30" ht="15">
      <c r="A11" s="379"/>
      <c r="B11" s="375" t="s">
        <v>1687</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901"/>
      <c r="Q11" s="1343" t="str">
        <f t="shared" si="6"/>
        <v>容积率</v>
      </c>
      <c r="R11" s="701" t="s">
        <v>14</v>
      </c>
      <c r="S11" s="702" t="e">
        <f t="shared" si="0"/>
        <v>#N/A</v>
      </c>
      <c r="T11" s="701" t="s">
        <v>14</v>
      </c>
      <c r="U11" s="702" t="e">
        <f t="shared" si="1"/>
        <v>#N/A</v>
      </c>
      <c r="V11" s="701" t="s">
        <v>14</v>
      </c>
      <c r="W11" s="702" t="e">
        <f t="shared" si="2"/>
        <v>#N/A</v>
      </c>
      <c r="X11" s="703"/>
      <c r="Y11" s="3757"/>
      <c r="Z11" s="52" t="str">
        <f t="shared" si="7"/>
        <v>容积率</v>
      </c>
      <c r="AA11" s="704" t="e">
        <f t="shared" si="3"/>
        <v>#N/A</v>
      </c>
      <c r="AB11" s="704" t="e">
        <f t="shared" si="4"/>
        <v>#N/A</v>
      </c>
      <c r="AC11" s="704" t="e">
        <f t="shared" si="5"/>
        <v>#N/A</v>
      </c>
    </row>
    <row r="12" spans="1:30" s="108" customFormat="1" ht="15">
      <c r="A12" s="382"/>
      <c r="B12" s="1893" t="s">
        <v>1868</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901"/>
      <c r="Q12" s="1343" t="str">
        <f t="shared" si="6"/>
        <v>配建</v>
      </c>
      <c r="R12" s="701" t="s">
        <v>14</v>
      </c>
      <c r="S12" s="702">
        <f t="shared" si="0"/>
        <v>100</v>
      </c>
      <c r="T12" s="701" t="s">
        <v>14</v>
      </c>
      <c r="U12" s="702">
        <f t="shared" si="1"/>
        <v>100</v>
      </c>
      <c r="V12" s="701" t="s">
        <v>14</v>
      </c>
      <c r="W12" s="702">
        <f t="shared" si="2"/>
        <v>100</v>
      </c>
      <c r="X12" s="703"/>
      <c r="Y12" s="3757"/>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901"/>
      <c r="Q13" s="1343">
        <f t="shared" si="6"/>
        <v>111</v>
      </c>
      <c r="R13" s="701" t="s">
        <v>14</v>
      </c>
      <c r="S13" s="702">
        <f t="shared" si="0"/>
        <v>100</v>
      </c>
      <c r="T13" s="701" t="s">
        <v>14</v>
      </c>
      <c r="U13" s="702">
        <f t="shared" si="1"/>
        <v>100</v>
      </c>
      <c r="V13" s="701" t="s">
        <v>14</v>
      </c>
      <c r="W13" s="702">
        <f t="shared" si="2"/>
        <v>100</v>
      </c>
      <c r="X13" s="703"/>
      <c r="Y13" s="3757"/>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901"/>
      <c r="Q14" s="1343">
        <f t="shared" si="6"/>
        <v>111</v>
      </c>
      <c r="R14" s="701" t="s">
        <v>14</v>
      </c>
      <c r="S14" s="702">
        <f t="shared" si="0"/>
        <v>100</v>
      </c>
      <c r="T14" s="701" t="s">
        <v>14</v>
      </c>
      <c r="U14" s="702">
        <f t="shared" si="1"/>
        <v>100</v>
      </c>
      <c r="V14" s="701" t="s">
        <v>14</v>
      </c>
      <c r="W14" s="702">
        <f t="shared" si="2"/>
        <v>100</v>
      </c>
      <c r="X14" s="703"/>
      <c r="Y14" s="3757"/>
      <c r="Z14" s="52">
        <f t="shared" si="7"/>
        <v>111</v>
      </c>
      <c r="AA14" s="704">
        <f>D14/F14</f>
        <v>1</v>
      </c>
      <c r="AB14" s="704">
        <f>D14/H14</f>
        <v>1</v>
      </c>
      <c r="AC14" s="704">
        <f>D14/J14</f>
        <v>1</v>
      </c>
    </row>
    <row r="15" spans="1:30" ht="99.75">
      <c r="A15" s="391" t="s">
        <v>1688</v>
      </c>
      <c r="B15" s="61" t="s">
        <v>1255</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903" t="s">
        <v>1689</v>
      </c>
      <c r="Q15" s="1352" t="str">
        <f t="shared" si="6"/>
        <v>居住社区成熟度</v>
      </c>
      <c r="R15" s="705" t="s">
        <v>14</v>
      </c>
      <c r="S15" s="706">
        <f t="shared" si="0"/>
        <v>100</v>
      </c>
      <c r="T15" s="705" t="s">
        <v>14</v>
      </c>
      <c r="U15" s="706">
        <f t="shared" si="1"/>
        <v>100</v>
      </c>
      <c r="V15" s="705" t="s">
        <v>14</v>
      </c>
      <c r="W15" s="706">
        <f t="shared" si="2"/>
        <v>100</v>
      </c>
      <c r="X15" s="1355"/>
      <c r="Y15" s="3903" t="s">
        <v>1689</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904"/>
      <c r="Q16" s="1352"/>
      <c r="R16" s="705"/>
      <c r="S16" s="706"/>
      <c r="T16" s="705"/>
      <c r="U16" s="706"/>
      <c r="V16" s="705"/>
      <c r="W16" s="706"/>
      <c r="X16" s="1355"/>
      <c r="Y16" s="3904"/>
      <c r="Z16" s="1356"/>
      <c r="AA16" s="1353">
        <v>1</v>
      </c>
      <c r="AB16" s="1353">
        <v>1</v>
      </c>
      <c r="AC16" s="1353">
        <v>1</v>
      </c>
    </row>
    <row r="17" spans="1:29" ht="71.25">
      <c r="A17" s="379"/>
      <c r="B17" s="402" t="s">
        <v>1775</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904"/>
      <c r="Q17" s="1352" t="str">
        <f>B17</f>
        <v>商业繁华度</v>
      </c>
      <c r="R17" s="705" t="s">
        <v>14</v>
      </c>
      <c r="S17" s="706">
        <f>F17</f>
        <v>100</v>
      </c>
      <c r="T17" s="705" t="s">
        <v>14</v>
      </c>
      <c r="U17" s="706">
        <f>H17</f>
        <v>100</v>
      </c>
      <c r="V17" s="705" t="s">
        <v>14</v>
      </c>
      <c r="W17" s="706">
        <f>J17</f>
        <v>100</v>
      </c>
      <c r="X17" s="1355"/>
      <c r="Y17" s="3904"/>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904"/>
      <c r="Q18" s="1352"/>
      <c r="R18" s="705"/>
      <c r="S18" s="706"/>
      <c r="T18" s="705"/>
      <c r="U18" s="706"/>
      <c r="V18" s="705"/>
      <c r="W18" s="706"/>
      <c r="X18" s="1355"/>
      <c r="Y18" s="3904"/>
      <c r="Z18" s="1356"/>
      <c r="AA18" s="1353">
        <v>1</v>
      </c>
      <c r="AB18" s="1353">
        <v>1</v>
      </c>
      <c r="AC18" s="1353">
        <v>1</v>
      </c>
    </row>
    <row r="19" spans="1:29" ht="71.25">
      <c r="A19" s="379"/>
      <c r="B19" s="402" t="s">
        <v>1809</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904"/>
      <c r="Q19" s="1352" t="str">
        <f>B19</f>
        <v>办公集聚程度</v>
      </c>
      <c r="R19" s="705" t="s">
        <v>14</v>
      </c>
      <c r="S19" s="706">
        <f>F19</f>
        <v>100</v>
      </c>
      <c r="T19" s="705" t="s">
        <v>14</v>
      </c>
      <c r="U19" s="706">
        <f>H19</f>
        <v>100</v>
      </c>
      <c r="V19" s="705" t="s">
        <v>14</v>
      </c>
      <c r="W19" s="706">
        <f>J19</f>
        <v>100</v>
      </c>
      <c r="X19" s="1355"/>
      <c r="Y19" s="3904"/>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904"/>
      <c r="Q20" s="1352"/>
      <c r="R20" s="705"/>
      <c r="S20" s="706"/>
      <c r="T20" s="705"/>
      <c r="U20" s="706"/>
      <c r="V20" s="705"/>
      <c r="W20" s="706"/>
      <c r="X20" s="1355"/>
      <c r="Y20" s="3904"/>
      <c r="Z20" s="1356"/>
      <c r="AA20" s="1353">
        <v>1</v>
      </c>
      <c r="AB20" s="1353">
        <v>1</v>
      </c>
      <c r="AC20" s="1353">
        <v>1</v>
      </c>
    </row>
    <row r="21" spans="1:29" ht="85.5">
      <c r="A21" s="379"/>
      <c r="B21" s="402" t="s">
        <v>1831</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904"/>
      <c r="Q21" s="1352" t="str">
        <f>B21</f>
        <v>交通便捷度</v>
      </c>
      <c r="R21" s="705" t="s">
        <v>14</v>
      </c>
      <c r="S21" s="706">
        <f>F21</f>
        <v>100</v>
      </c>
      <c r="T21" s="705" t="s">
        <v>14</v>
      </c>
      <c r="U21" s="706">
        <f>H21</f>
        <v>100</v>
      </c>
      <c r="V21" s="705" t="s">
        <v>14</v>
      </c>
      <c r="W21" s="706">
        <f>J21</f>
        <v>100</v>
      </c>
      <c r="X21" s="1355"/>
      <c r="Y21" s="3904"/>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904"/>
      <c r="Q22" s="1352"/>
      <c r="R22" s="705"/>
      <c r="S22" s="706"/>
      <c r="T22" s="705"/>
      <c r="U22" s="706"/>
      <c r="V22" s="705"/>
      <c r="W22" s="706"/>
      <c r="X22" s="1355"/>
      <c r="Y22" s="3904"/>
      <c r="Z22" s="1356"/>
      <c r="AA22" s="1353">
        <v>1</v>
      </c>
      <c r="AB22" s="1353">
        <v>1</v>
      </c>
      <c r="AC22" s="1353">
        <v>1</v>
      </c>
    </row>
    <row r="23" spans="1:29" ht="15">
      <c r="A23" s="358"/>
      <c r="B23" s="402" t="s">
        <v>1869</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904"/>
      <c r="Q23" s="1352" t="str">
        <f t="shared" ref="Q23:Q37" si="8">B23</f>
        <v>区域土地利用方向</v>
      </c>
      <c r="R23" s="705" t="s">
        <v>14</v>
      </c>
      <c r="S23" s="706">
        <f>F23</f>
        <v>100</v>
      </c>
      <c r="T23" s="705" t="s">
        <v>14</v>
      </c>
      <c r="U23" s="706">
        <f>H23</f>
        <v>100</v>
      </c>
      <c r="V23" s="705" t="s">
        <v>14</v>
      </c>
      <c r="W23" s="706">
        <f>J23</f>
        <v>100</v>
      </c>
      <c r="X23" s="1355"/>
      <c r="Y23" s="3904"/>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904"/>
      <c r="Q24" s="1352"/>
      <c r="R24" s="705"/>
      <c r="S24" s="706"/>
      <c r="T24" s="705"/>
      <c r="U24" s="706"/>
      <c r="V24" s="705"/>
      <c r="W24" s="706"/>
      <c r="X24" s="1355"/>
      <c r="Y24" s="3904"/>
      <c r="Z24" s="1356"/>
      <c r="AA24" s="1353"/>
      <c r="AB24" s="1353"/>
      <c r="AC24" s="1353"/>
    </row>
    <row r="25" spans="1:29" ht="57">
      <c r="A25" s="358"/>
      <c r="B25" s="1131" t="s">
        <v>1870</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904"/>
      <c r="Q25" s="1352" t="str">
        <f t="shared" si="8"/>
        <v>自然及人文环境状况</v>
      </c>
      <c r="R25" s="705" t="s">
        <v>14</v>
      </c>
      <c r="S25" s="706">
        <f>F25</f>
        <v>100</v>
      </c>
      <c r="T25" s="705" t="s">
        <v>14</v>
      </c>
      <c r="U25" s="706">
        <f>H25</f>
        <v>100</v>
      </c>
      <c r="V25" s="705" t="s">
        <v>14</v>
      </c>
      <c r="W25" s="706">
        <f>J25</f>
        <v>100</v>
      </c>
      <c r="X25" s="1355"/>
      <c r="Y25" s="3904"/>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904"/>
      <c r="Q26" s="1352"/>
      <c r="R26" s="705"/>
      <c r="S26" s="706"/>
      <c r="T26" s="705"/>
      <c r="U26" s="706"/>
      <c r="V26" s="705"/>
      <c r="W26" s="706"/>
      <c r="X26" s="1355"/>
      <c r="Y26" s="3904"/>
      <c r="Z26" s="1356"/>
      <c r="AA26" s="1353">
        <v>1</v>
      </c>
      <c r="AB26" s="1353">
        <v>1</v>
      </c>
      <c r="AC26" s="1353">
        <v>1</v>
      </c>
    </row>
    <row r="27" spans="1:29" s="108" customFormat="1" ht="42.75">
      <c r="A27" s="597"/>
      <c r="B27" s="1131" t="s">
        <v>1776</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904"/>
      <c r="Q27" s="1343" t="str">
        <f t="shared" si="8"/>
        <v>公共配套设施</v>
      </c>
      <c r="R27" s="701" t="s">
        <v>14</v>
      </c>
      <c r="S27" s="702">
        <f>F27</f>
        <v>100</v>
      </c>
      <c r="T27" s="701" t="s">
        <v>14</v>
      </c>
      <c r="U27" s="702">
        <f>H27</f>
        <v>100</v>
      </c>
      <c r="V27" s="701" t="s">
        <v>14</v>
      </c>
      <c r="W27" s="702">
        <f>J27</f>
        <v>100</v>
      </c>
      <c r="X27" s="703"/>
      <c r="Y27" s="3904"/>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904"/>
      <c r="Q28" s="1343"/>
      <c r="R28" s="701"/>
      <c r="S28" s="702"/>
      <c r="T28" s="701"/>
      <c r="U28" s="702"/>
      <c r="V28" s="701"/>
      <c r="W28" s="702"/>
      <c r="X28" s="703"/>
      <c r="Y28" s="3904"/>
      <c r="Z28" s="52"/>
      <c r="AA28" s="1353">
        <v>1</v>
      </c>
      <c r="AB28" s="1353">
        <v>1</v>
      </c>
      <c r="AC28" s="1353">
        <v>1</v>
      </c>
    </row>
    <row r="29" spans="1:29" s="108" customFormat="1" ht="28.5">
      <c r="A29" s="597"/>
      <c r="B29" s="1131" t="s">
        <v>1777</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904"/>
      <c r="Q29" s="1343" t="str">
        <f t="shared" ref="Q29" si="9">B29</f>
        <v>基础设施水平</v>
      </c>
      <c r="R29" s="701" t="s">
        <v>14</v>
      </c>
      <c r="S29" s="702">
        <f>F29</f>
        <v>100</v>
      </c>
      <c r="T29" s="701" t="s">
        <v>14</v>
      </c>
      <c r="U29" s="702">
        <f>H29</f>
        <v>100</v>
      </c>
      <c r="V29" s="701" t="s">
        <v>14</v>
      </c>
      <c r="W29" s="702">
        <f>J29</f>
        <v>100</v>
      </c>
      <c r="X29" s="703"/>
      <c r="Y29" s="3904"/>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904"/>
      <c r="Q30" s="1343"/>
      <c r="R30" s="701"/>
      <c r="S30" s="702"/>
      <c r="T30" s="701"/>
      <c r="U30" s="702"/>
      <c r="V30" s="701"/>
      <c r="W30" s="702"/>
      <c r="X30" s="703"/>
      <c r="Y30" s="3904"/>
      <c r="Z30" s="52"/>
      <c r="AA30" s="1353">
        <v>1</v>
      </c>
      <c r="AB30" s="1353">
        <v>1</v>
      </c>
      <c r="AC30" s="1353">
        <v>1</v>
      </c>
    </row>
    <row r="31" spans="1:29" ht="15">
      <c r="A31" s="379"/>
      <c r="B31" s="407" t="s">
        <v>1778</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904"/>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904"/>
      <c r="Z31" s="1356" t="str">
        <f t="shared" ref="Z31:Z45" si="13">Q31</f>
        <v>临街状况</v>
      </c>
      <c r="AA31" s="1353">
        <f t="shared" si="3"/>
        <v>1</v>
      </c>
      <c r="AB31" s="1353">
        <f t="shared" si="4"/>
        <v>1</v>
      </c>
      <c r="AC31" s="1353">
        <f t="shared" si="5"/>
        <v>1</v>
      </c>
    </row>
    <row r="32" spans="1:29" ht="27">
      <c r="A32" s="379"/>
      <c r="B32" s="1131" t="s">
        <v>1813</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904"/>
      <c r="Q32" s="1352" t="str">
        <f t="shared" si="8"/>
        <v>毗邻道路的类型与等级</v>
      </c>
      <c r="R32" s="705" t="s">
        <v>14</v>
      </c>
      <c r="S32" s="706">
        <f t="shared" si="10"/>
        <v>100</v>
      </c>
      <c r="T32" s="705" t="s">
        <v>14</v>
      </c>
      <c r="U32" s="706">
        <f t="shared" si="11"/>
        <v>100</v>
      </c>
      <c r="V32" s="705" t="s">
        <v>14</v>
      </c>
      <c r="W32" s="706">
        <f t="shared" si="12"/>
        <v>100</v>
      </c>
      <c r="X32" s="1355"/>
      <c r="Y32" s="3904"/>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904"/>
      <c r="Q33" s="1352"/>
      <c r="R33" s="705"/>
      <c r="S33" s="706"/>
      <c r="T33" s="705"/>
      <c r="U33" s="706"/>
      <c r="V33" s="705"/>
      <c r="W33" s="706"/>
      <c r="X33" s="1355"/>
      <c r="Y33" s="3904"/>
      <c r="Z33" s="1356"/>
      <c r="AA33" s="1353">
        <v>1</v>
      </c>
      <c r="AB33" s="1353">
        <v>1</v>
      </c>
      <c r="AC33" s="1353">
        <v>1</v>
      </c>
    </row>
    <row r="34" spans="1:29" ht="15">
      <c r="A34" s="379"/>
      <c r="B34" s="375" t="s">
        <v>1871</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904"/>
      <c r="Q34" s="1352" t="str">
        <f t="shared" si="8"/>
        <v>土地级别</v>
      </c>
      <c r="R34" s="705" t="s">
        <v>14</v>
      </c>
      <c r="S34" s="706">
        <f t="shared" si="10"/>
        <v>100</v>
      </c>
      <c r="T34" s="705" t="s">
        <v>14</v>
      </c>
      <c r="U34" s="706">
        <f t="shared" si="11"/>
        <v>100</v>
      </c>
      <c r="V34" s="705" t="s">
        <v>14</v>
      </c>
      <c r="W34" s="706">
        <f t="shared" si="12"/>
        <v>100</v>
      </c>
      <c r="X34" s="1355"/>
      <c r="Y34" s="3904"/>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904"/>
      <c r="Q35" s="1352">
        <f t="shared" si="8"/>
        <v>111</v>
      </c>
      <c r="R35" s="705" t="s">
        <v>14</v>
      </c>
      <c r="S35" s="706">
        <f t="shared" si="10"/>
        <v>100</v>
      </c>
      <c r="T35" s="705" t="s">
        <v>14</v>
      </c>
      <c r="U35" s="706">
        <f t="shared" si="11"/>
        <v>100</v>
      </c>
      <c r="V35" s="705" t="s">
        <v>14</v>
      </c>
      <c r="W35" s="706">
        <f t="shared" si="12"/>
        <v>100</v>
      </c>
      <c r="X35" s="1355"/>
      <c r="Y35" s="3904"/>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961" t="s">
        <v>1694</v>
      </c>
      <c r="Q36" s="1352">
        <f t="shared" si="8"/>
        <v>111</v>
      </c>
      <c r="R36" s="705" t="s">
        <v>14</v>
      </c>
      <c r="S36" s="706">
        <f t="shared" si="10"/>
        <v>100</v>
      </c>
      <c r="T36" s="705" t="s">
        <v>14</v>
      </c>
      <c r="U36" s="706">
        <f t="shared" si="11"/>
        <v>100</v>
      </c>
      <c r="V36" s="705" t="s">
        <v>14</v>
      </c>
      <c r="W36" s="706">
        <f t="shared" si="12"/>
        <v>100</v>
      </c>
      <c r="X36" s="1355"/>
      <c r="Y36" s="3908" t="s">
        <v>1694</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908"/>
      <c r="Q37" s="1352">
        <f t="shared" si="8"/>
        <v>111</v>
      </c>
      <c r="R37" s="708" t="s">
        <v>14</v>
      </c>
      <c r="S37" s="709">
        <f t="shared" si="10"/>
        <v>100</v>
      </c>
      <c r="T37" s="708" t="s">
        <v>14</v>
      </c>
      <c r="U37" s="709">
        <f t="shared" si="11"/>
        <v>100</v>
      </c>
      <c r="V37" s="708" t="s">
        <v>14</v>
      </c>
      <c r="W37" s="709">
        <f t="shared" si="12"/>
        <v>100</v>
      </c>
      <c r="X37" s="710"/>
      <c r="Y37" s="3908"/>
      <c r="Z37" s="711">
        <f t="shared" si="13"/>
        <v>111</v>
      </c>
      <c r="AA37" s="1353">
        <f t="shared" si="3"/>
        <v>1</v>
      </c>
      <c r="AB37" s="1353">
        <f t="shared" si="4"/>
        <v>1</v>
      </c>
      <c r="AC37" s="1353">
        <f t="shared" si="5"/>
        <v>1</v>
      </c>
    </row>
    <row r="38" spans="1:29" ht="15">
      <c r="A38" s="423" t="s">
        <v>1692</v>
      </c>
      <c r="B38" s="407" t="s">
        <v>1872</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908"/>
      <c r="Q38" s="1352" t="str">
        <f>B38</f>
        <v>宗地面积</v>
      </c>
      <c r="R38" s="705" t="s">
        <v>14</v>
      </c>
      <c r="S38" s="706" t="e">
        <f t="shared" si="10"/>
        <v>#N/A</v>
      </c>
      <c r="T38" s="705" t="s">
        <v>14</v>
      </c>
      <c r="U38" s="706" t="e">
        <f t="shared" si="11"/>
        <v>#N/A</v>
      </c>
      <c r="V38" s="705" t="s">
        <v>14</v>
      </c>
      <c r="W38" s="706" t="e">
        <f t="shared" si="12"/>
        <v>#N/A</v>
      </c>
      <c r="X38" s="1355"/>
      <c r="Y38" s="3908"/>
      <c r="Z38" s="1356" t="str">
        <f t="shared" si="13"/>
        <v>宗地面积</v>
      </c>
      <c r="AA38" s="1353" t="e">
        <f t="shared" si="3"/>
        <v>#N/A</v>
      </c>
      <c r="AB38" s="1353" t="e">
        <f t="shared" si="4"/>
        <v>#N/A</v>
      </c>
      <c r="AC38" s="1353" t="e">
        <f t="shared" si="5"/>
        <v>#N/A</v>
      </c>
    </row>
    <row r="39" spans="1:29" ht="15">
      <c r="A39" s="423"/>
      <c r="B39" s="375" t="s">
        <v>1873</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908"/>
      <c r="Q39" s="1352" t="str">
        <f t="shared" ref="Q39:Q45" si="14">B39</f>
        <v>宗地形状</v>
      </c>
      <c r="R39" s="705" t="s">
        <v>14</v>
      </c>
      <c r="S39" s="706">
        <f t="shared" si="10"/>
        <v>100</v>
      </c>
      <c r="T39" s="705" t="s">
        <v>14</v>
      </c>
      <c r="U39" s="706">
        <f t="shared" si="11"/>
        <v>100</v>
      </c>
      <c r="V39" s="705" t="s">
        <v>14</v>
      </c>
      <c r="W39" s="706">
        <f t="shared" si="12"/>
        <v>100</v>
      </c>
      <c r="X39" s="1355"/>
      <c r="Y39" s="3908"/>
      <c r="Z39" s="1356" t="str">
        <f t="shared" si="13"/>
        <v>宗地形状</v>
      </c>
      <c r="AA39" s="1353">
        <f t="shared" si="3"/>
        <v>1</v>
      </c>
      <c r="AB39" s="1353">
        <f t="shared" si="4"/>
        <v>1</v>
      </c>
      <c r="AC39" s="1353">
        <f t="shared" si="5"/>
        <v>1</v>
      </c>
    </row>
    <row r="40" spans="1:29" ht="15">
      <c r="A40" s="423"/>
      <c r="B40" s="375" t="s">
        <v>1874</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908"/>
      <c r="Q40" s="1352" t="str">
        <f t="shared" si="14"/>
        <v>临街宽度及深度</v>
      </c>
      <c r="R40" s="705" t="s">
        <v>14</v>
      </c>
      <c r="S40" s="706">
        <f t="shared" si="10"/>
        <v>100</v>
      </c>
      <c r="T40" s="705" t="s">
        <v>14</v>
      </c>
      <c r="U40" s="706">
        <f t="shared" si="11"/>
        <v>100</v>
      </c>
      <c r="V40" s="705" t="s">
        <v>14</v>
      </c>
      <c r="W40" s="706">
        <f t="shared" si="12"/>
        <v>100</v>
      </c>
      <c r="X40" s="1355"/>
      <c r="Y40" s="3908"/>
      <c r="Z40" s="1356" t="str">
        <f t="shared" si="13"/>
        <v>临街宽度及深度</v>
      </c>
      <c r="AA40" s="1353">
        <f t="shared" si="3"/>
        <v>1</v>
      </c>
      <c r="AB40" s="1353">
        <f t="shared" si="4"/>
        <v>1</v>
      </c>
      <c r="AC40" s="1353">
        <f t="shared" si="5"/>
        <v>1</v>
      </c>
    </row>
    <row r="41" spans="1:29" s="108" customFormat="1" ht="15">
      <c r="A41" s="424"/>
      <c r="B41" s="375" t="s">
        <v>1875</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908"/>
      <c r="Q41" s="1352" t="str">
        <f t="shared" si="14"/>
        <v>宗地开发程度</v>
      </c>
      <c r="R41" s="701" t="s">
        <v>14</v>
      </c>
      <c r="S41" s="702">
        <f t="shared" si="10"/>
        <v>100</v>
      </c>
      <c r="T41" s="701" t="s">
        <v>14</v>
      </c>
      <c r="U41" s="702">
        <f t="shared" si="11"/>
        <v>100</v>
      </c>
      <c r="V41" s="701" t="s">
        <v>14</v>
      </c>
      <c r="W41" s="702">
        <f t="shared" si="12"/>
        <v>100</v>
      </c>
      <c r="X41" s="703"/>
      <c r="Y41" s="3908"/>
      <c r="Z41" s="52" t="str">
        <f t="shared" si="13"/>
        <v>宗地开发程度</v>
      </c>
      <c r="AA41" s="704">
        <f t="shared" si="3"/>
        <v>1</v>
      </c>
      <c r="AB41" s="704">
        <f t="shared" si="4"/>
        <v>1</v>
      </c>
      <c r="AC41" s="704">
        <f t="shared" si="5"/>
        <v>1</v>
      </c>
    </row>
    <row r="42" spans="1:29" ht="15">
      <c r="A42" s="423"/>
      <c r="B42" s="375" t="s">
        <v>1876</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908" t="s">
        <v>1694</v>
      </c>
      <c r="Q42" s="1352" t="str">
        <f t="shared" si="14"/>
        <v>工程地质条件</v>
      </c>
      <c r="R42" s="705" t="s">
        <v>14</v>
      </c>
      <c r="S42" s="706">
        <f t="shared" si="10"/>
        <v>100</v>
      </c>
      <c r="T42" s="705" t="s">
        <v>14</v>
      </c>
      <c r="U42" s="706">
        <f t="shared" si="11"/>
        <v>100</v>
      </c>
      <c r="V42" s="705" t="s">
        <v>14</v>
      </c>
      <c r="W42" s="706">
        <f t="shared" si="12"/>
        <v>100</v>
      </c>
      <c r="X42" s="1355"/>
      <c r="Y42" s="3908" t="s">
        <v>1694</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908"/>
      <c r="Q43" s="1352">
        <f t="shared" si="14"/>
        <v>111</v>
      </c>
      <c r="R43" s="705" t="s">
        <v>14</v>
      </c>
      <c r="S43" s="706">
        <f t="shared" si="10"/>
        <v>100</v>
      </c>
      <c r="T43" s="705" t="s">
        <v>14</v>
      </c>
      <c r="U43" s="706">
        <f t="shared" si="11"/>
        <v>100</v>
      </c>
      <c r="V43" s="705" t="s">
        <v>14</v>
      </c>
      <c r="W43" s="706">
        <f t="shared" si="12"/>
        <v>100</v>
      </c>
      <c r="X43" s="1355"/>
      <c r="Y43" s="3908"/>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908"/>
      <c r="Q44" s="1352">
        <f t="shared" si="14"/>
        <v>111</v>
      </c>
      <c r="R44" s="705" t="s">
        <v>14</v>
      </c>
      <c r="S44" s="706">
        <f t="shared" si="10"/>
        <v>100</v>
      </c>
      <c r="T44" s="705" t="s">
        <v>14</v>
      </c>
      <c r="U44" s="706">
        <f t="shared" si="11"/>
        <v>100</v>
      </c>
      <c r="V44" s="705" t="s">
        <v>14</v>
      </c>
      <c r="W44" s="706">
        <f t="shared" si="12"/>
        <v>100</v>
      </c>
      <c r="X44" s="1355"/>
      <c r="Y44" s="3908"/>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908"/>
      <c r="Q45" s="1352">
        <f t="shared" si="14"/>
        <v>111</v>
      </c>
      <c r="R45" s="708" t="s">
        <v>14</v>
      </c>
      <c r="S45" s="709">
        <f t="shared" si="10"/>
        <v>100</v>
      </c>
      <c r="T45" s="708" t="s">
        <v>14</v>
      </c>
      <c r="U45" s="709">
        <f t="shared" si="11"/>
        <v>100</v>
      </c>
      <c r="V45" s="708" t="s">
        <v>14</v>
      </c>
      <c r="W45" s="709">
        <f t="shared" si="12"/>
        <v>100</v>
      </c>
      <c r="X45" s="710"/>
      <c r="Y45" s="3908"/>
      <c r="Z45" s="711">
        <f t="shared" si="13"/>
        <v>111</v>
      </c>
      <c r="AA45" s="1353">
        <f t="shared" si="3"/>
        <v>1</v>
      </c>
      <c r="AB45" s="1353">
        <f t="shared" si="4"/>
        <v>1</v>
      </c>
      <c r="AC45" s="1353">
        <f t="shared" si="5"/>
        <v>1</v>
      </c>
    </row>
    <row r="46" spans="1:29" ht="15">
      <c r="A46" s="430" t="s">
        <v>1842</v>
      </c>
      <c r="B46" s="1982" t="s">
        <v>1877</v>
      </c>
      <c r="C46" s="630" t="s">
        <v>0</v>
      </c>
      <c r="D46" s="432"/>
      <c r="E46" s="433"/>
      <c r="F46" s="434"/>
      <c r="G46" s="435"/>
      <c r="H46" s="436"/>
      <c r="I46" s="433"/>
      <c r="J46" s="436"/>
      <c r="K46" s="714"/>
      <c r="L46" s="2724"/>
      <c r="M46" s="2725"/>
      <c r="N46" s="2716"/>
      <c r="O46" s="2725"/>
      <c r="P46" s="3901" t="str">
        <f>A46</f>
        <v>成交单价</v>
      </c>
      <c r="Q46" s="3901"/>
      <c r="R46" s="3932">
        <f>E46</f>
        <v>0</v>
      </c>
      <c r="S46" s="3932"/>
      <c r="T46" s="3932">
        <f>G46</f>
        <v>0</v>
      </c>
      <c r="U46" s="3932"/>
      <c r="V46" s="3932">
        <f>I46</f>
        <v>0</v>
      </c>
      <c r="W46" s="3932"/>
      <c r="X46" s="690"/>
      <c r="Y46" s="712"/>
      <c r="Z46" s="690"/>
      <c r="AA46" s="690"/>
      <c r="AB46" s="690"/>
      <c r="AC46" s="690"/>
    </row>
    <row r="47" spans="1:29" ht="15.75" thickBot="1">
      <c r="A47" s="437" t="s">
        <v>1791</v>
      </c>
      <c r="B47" s="631"/>
      <c r="C47" s="440" t="e">
        <f>R48</f>
        <v>#DIV/0!</v>
      </c>
      <c r="D47" s="2317" t="s">
        <v>2135</v>
      </c>
      <c r="E47" s="440" t="e">
        <f>R47</f>
        <v>#DIV/0!</v>
      </c>
      <c r="F47" s="2318"/>
      <c r="G47" s="439" t="e">
        <f>T47</f>
        <v>#DIV/0!</v>
      </c>
      <c r="H47" s="2318"/>
      <c r="I47" s="440" t="e">
        <f>V47</f>
        <v>#DIV/0!</v>
      </c>
      <c r="J47" s="2318"/>
      <c r="K47" s="2320">
        <f>F47+H47+J47</f>
        <v>0</v>
      </c>
      <c r="L47" s="2724"/>
      <c r="M47" s="2725"/>
      <c r="N47" s="2725"/>
      <c r="O47" s="2725"/>
      <c r="P47" s="3901" t="str">
        <f>A47</f>
        <v>比较价值（元/平方米）</v>
      </c>
      <c r="Q47" s="3901"/>
      <c r="R47" s="3963" t="e">
        <f>ROUND(PRODUCT(R46,AA7:AA45),0)</f>
        <v>#DIV/0!</v>
      </c>
      <c r="S47" s="3963"/>
      <c r="T47" s="3963" t="e">
        <f>ROUND(PRODUCT(T46,AB7:AB45),0)</f>
        <v>#DIV/0!</v>
      </c>
      <c r="U47" s="3963"/>
      <c r="V47" s="3963" t="e">
        <f>ROUND(PRODUCT(V46,AC7:AC45),0)</f>
        <v>#DIV/0!</v>
      </c>
      <c r="W47" s="3963"/>
      <c r="X47" s="690"/>
      <c r="Y47" s="690"/>
      <c r="Z47" s="690"/>
      <c r="AA47" s="690"/>
      <c r="AB47" s="690"/>
      <c r="AC47" s="690"/>
    </row>
    <row r="48" spans="1:29" ht="15.75" thickBot="1">
      <c r="A48" s="441" t="s">
        <v>1878</v>
      </c>
      <c r="B48" s="442"/>
      <c r="C48" s="443" t="e">
        <f>R48</f>
        <v>#DIV/0!</v>
      </c>
      <c r="D48" s="443"/>
      <c r="E48" s="443"/>
      <c r="F48" s="443"/>
      <c r="G48" s="443"/>
      <c r="H48" s="443"/>
      <c r="I48" s="443"/>
      <c r="J48" s="443"/>
      <c r="K48" s="715"/>
      <c r="L48" s="2724"/>
      <c r="M48" s="2725"/>
      <c r="N48" s="2725"/>
      <c r="O48" s="2725"/>
      <c r="P48" s="3898" t="str">
        <f>A48</f>
        <v>估价对象XX用房的比较价值（楼面单价，元/平方米）</v>
      </c>
      <c r="Q48" s="3899"/>
      <c r="R48" s="3964" t="e">
        <f>ROUND(IF(D47="简单平均",AVERAGE(R47:W47),R47*F47+T47*H47+V47*J47),0)</f>
        <v>#DIV/0!</v>
      </c>
      <c r="S48" s="3964"/>
      <c r="T48" s="3964"/>
      <c r="U48" s="3964"/>
      <c r="V48" s="3964"/>
      <c r="W48" s="3964"/>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1793</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1794</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1795</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1879</v>
      </c>
      <c r="B55" s="633" t="s">
        <v>1880</v>
      </c>
      <c r="C55" s="1983" t="s">
        <v>1881</v>
      </c>
      <c r="D55" s="1984" t="s">
        <v>1882</v>
      </c>
      <c r="E55" s="634" t="s">
        <v>1883</v>
      </c>
      <c r="F55" s="890" t="s">
        <v>1884</v>
      </c>
      <c r="G55" s="3916" t="s">
        <v>1885</v>
      </c>
      <c r="H55" s="3965"/>
      <c r="I55" s="135" t="s">
        <v>1886</v>
      </c>
      <c r="J55" s="1985">
        <f>项目基本情况!F35</f>
        <v>0</v>
      </c>
      <c r="K55" s="1986" t="s">
        <v>1887</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1888</v>
      </c>
      <c r="B56" s="637" t="e">
        <f>C48</f>
        <v>#DIV/0!</v>
      </c>
      <c r="C56" s="638">
        <v>1</v>
      </c>
      <c r="D56" s="944">
        <v>1</v>
      </c>
      <c r="E56" s="638">
        <f>'数据-汇总表'!E8+'数据-汇总表'!E9</f>
        <v>18448.600000000002</v>
      </c>
      <c r="F56" s="886" t="e">
        <f t="shared" ref="F56:F64" si="15">ROUND(B56*E56/10000,0)</f>
        <v>#DIV/0!</v>
      </c>
      <c r="G56" s="3912"/>
      <c r="H56" s="3901"/>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1889</v>
      </c>
      <c r="B57" s="218" t="e">
        <f>ROUND($C$48*C57*D57,0)</f>
        <v>#DIV/0!</v>
      </c>
      <c r="C57" s="171">
        <f t="shared" ref="C57:C64" si="16">IF($C$55="北京市系数",I57,J57)</f>
        <v>0</v>
      </c>
      <c r="D57" s="945">
        <v>0.25</v>
      </c>
      <c r="E57" s="642"/>
      <c r="F57" s="886" t="e">
        <f t="shared" si="15"/>
        <v>#DIV/0!</v>
      </c>
      <c r="G57" s="3006" t="s">
        <v>1890</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1891</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1892</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1893</v>
      </c>
      <c r="B60" s="218" t="e">
        <f t="shared" si="17"/>
        <v>#DIV/0!</v>
      </c>
      <c r="C60" s="171">
        <f t="shared" si="16"/>
        <v>0.3</v>
      </c>
      <c r="D60" s="945">
        <v>0.25</v>
      </c>
      <c r="E60" s="217">
        <f>'数据-汇总表'!E11</f>
        <v>0</v>
      </c>
      <c r="F60" s="886" t="e">
        <f t="shared" si="15"/>
        <v>#DIV/0!</v>
      </c>
      <c r="G60" s="1987" t="s">
        <v>1894</v>
      </c>
      <c r="H60" s="887" t="str">
        <f>项目基本情况!C37</f>
        <v>二级</v>
      </c>
      <c r="I60" s="891">
        <f>SUMIF(修正!A57:A68,H60,修正!E57:E68)</f>
        <v>0.3</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1895</v>
      </c>
      <c r="B61" s="218" t="e">
        <f t="shared" si="17"/>
        <v>#DIV/0!</v>
      </c>
      <c r="C61" s="171">
        <f t="shared" si="16"/>
        <v>0.3</v>
      </c>
      <c r="D61" s="945">
        <v>0.25</v>
      </c>
      <c r="E61" s="217">
        <f>'数据-汇总表'!E12</f>
        <v>0</v>
      </c>
      <c r="F61" s="886" t="e">
        <f t="shared" si="15"/>
        <v>#DIV/0!</v>
      </c>
      <c r="G61" s="892" t="s">
        <v>1896</v>
      </c>
      <c r="H61" s="887" t="str">
        <f>IF(G61="商业",项目基本情况!B37,IF(G61="办公",项目基本情况!C37,IF(G61="住宅",项目基本情况!D37,项目基本情况!E37)))</f>
        <v>二级</v>
      </c>
      <c r="I61" s="891">
        <f>SUMIF(修正!A57:A68,H61,修正!F57:F68)</f>
        <v>0.3</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1897</v>
      </c>
      <c r="B62" s="218" t="e">
        <f t="shared" si="17"/>
        <v>#DIV/0!</v>
      </c>
      <c r="C62" s="171">
        <f t="shared" si="16"/>
        <v>0</v>
      </c>
      <c r="D62" s="945">
        <v>0.25</v>
      </c>
      <c r="E62" s="217">
        <f>'数据-汇总表'!E13</f>
        <v>0</v>
      </c>
      <c r="F62" s="886" t="e">
        <f t="shared" si="15"/>
        <v>#DIV/0!</v>
      </c>
      <c r="G62" s="892" t="s">
        <v>1898</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1899</v>
      </c>
      <c r="B63" s="218" t="e">
        <f t="shared" si="17"/>
        <v>#DIV/0!</v>
      </c>
      <c r="C63" s="171">
        <f t="shared" si="16"/>
        <v>0</v>
      </c>
      <c r="D63" s="945">
        <v>0.25</v>
      </c>
      <c r="E63" s="217">
        <f>'数据-汇总表'!E14</f>
        <v>0</v>
      </c>
      <c r="F63" s="886" t="e">
        <f t="shared" si="15"/>
        <v>#DIV/0!</v>
      </c>
      <c r="G63" s="1987" t="s">
        <v>1890</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1900</v>
      </c>
      <c r="B64" s="218" t="e">
        <f t="shared" si="17"/>
        <v>#DIV/0!</v>
      </c>
      <c r="C64" s="171">
        <f t="shared" si="16"/>
        <v>0.2</v>
      </c>
      <c r="D64" s="945">
        <v>0.25</v>
      </c>
      <c r="E64" s="217">
        <f>'数据-汇总表'!E15</f>
        <v>0</v>
      </c>
      <c r="F64" s="886" t="e">
        <f t="shared" si="15"/>
        <v>#DIV/0!</v>
      </c>
      <c r="G64" s="1988" t="s">
        <v>1894</v>
      </c>
      <c r="H64" s="897" t="str">
        <f>项目基本情况!C37</f>
        <v>二级</v>
      </c>
      <c r="I64" s="893">
        <f>SUMIF(修正!A57:A68,H64,修正!G57:G68)</f>
        <v>0.2</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1901</v>
      </c>
      <c r="B65" s="644" t="s">
        <v>22</v>
      </c>
      <c r="C65" s="644" t="s">
        <v>23</v>
      </c>
      <c r="D65" s="644" t="s">
        <v>392</v>
      </c>
      <c r="E65" s="644">
        <f>IF(B46="楼面地价",SUM(E56:E64),'数据-汇总表'!D3)</f>
        <v>18448.600000000002</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725"/>
      <c r="Q67" s="2725"/>
      <c r="R67" s="2725"/>
      <c r="S67" s="2725"/>
      <c r="T67" s="2725"/>
      <c r="U67" s="2725"/>
      <c r="V67" s="2725"/>
      <c r="W67" s="2725"/>
      <c r="X67" s="2725"/>
      <c r="Y67" s="2725"/>
      <c r="Z67" s="2725"/>
      <c r="AA67" s="2725"/>
      <c r="AB67" s="2725"/>
      <c r="AC67" s="2725"/>
    </row>
    <row r="68" spans="1:29" ht="21.75" thickBot="1">
      <c r="A68" s="694" t="s">
        <v>1796</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1902</v>
      </c>
      <c r="B69" s="1109"/>
      <c r="C69" s="1182" t="str">
        <f>YEAR(C67)&amp;"-"&amp;ROUNDUP(MONTH(C67)/3,0)</f>
        <v>2024-2</v>
      </c>
      <c r="D69" s="1182" t="str">
        <f>YEAR(D67)&amp;"-"&amp;ROUNDUP(MONTH(D67)/3,0)</f>
        <v>2024-1</v>
      </c>
      <c r="E69" s="1182" t="str">
        <f t="shared" ref="E69:O69" si="19">YEAR(E67)&amp;"-"&amp;ROUNDUP(MONTH(E67)/3,0)</f>
        <v>2023-4</v>
      </c>
      <c r="F69" s="1182" t="str">
        <f t="shared" si="19"/>
        <v>2023-3</v>
      </c>
      <c r="G69" s="1182" t="str">
        <f t="shared" si="19"/>
        <v>2023-2</v>
      </c>
      <c r="H69" s="1182" t="str">
        <f t="shared" si="19"/>
        <v>2023-1</v>
      </c>
      <c r="I69" s="1182" t="str">
        <f t="shared" si="19"/>
        <v>2022-4</v>
      </c>
      <c r="J69" s="1182" t="str">
        <f t="shared" si="19"/>
        <v>2022-3</v>
      </c>
      <c r="K69" s="1182" t="str">
        <f t="shared" si="19"/>
        <v>2022-2</v>
      </c>
      <c r="L69" s="1182" t="str">
        <f t="shared" si="19"/>
        <v>2022-1</v>
      </c>
      <c r="M69" s="1182" t="str">
        <f t="shared" si="19"/>
        <v>2021-4</v>
      </c>
      <c r="N69" s="1182" t="str">
        <f t="shared" si="19"/>
        <v>2021-3</v>
      </c>
      <c r="O69" s="1182" t="str">
        <f t="shared" si="19"/>
        <v>2021-2</v>
      </c>
      <c r="P69" s="2776"/>
      <c r="Q69" s="2741"/>
      <c r="R69" s="2741"/>
      <c r="S69" s="2741"/>
      <c r="T69" s="2741"/>
      <c r="U69" s="2741"/>
      <c r="V69" s="2741"/>
      <c r="W69" s="2741"/>
      <c r="X69" s="2741"/>
      <c r="Y69" s="2741"/>
      <c r="Z69" s="2741"/>
      <c r="AA69" s="2741"/>
      <c r="AB69" s="2741"/>
      <c r="AC69" s="2741"/>
    </row>
    <row r="70" spans="1:29" s="108" customFormat="1" ht="30" customHeight="1">
      <c r="A70" s="1990" t="s">
        <v>1903</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1714</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1679</v>
      </c>
      <c r="B72" s="459"/>
      <c r="C72" s="471" t="s">
        <v>1774</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1717</v>
      </c>
      <c r="B74" s="477" t="s">
        <v>1683</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1686</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1687</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1688</v>
      </c>
      <c r="B87" s="477" t="s">
        <v>1718</v>
      </c>
      <c r="C87" s="522" t="s">
        <v>1719</v>
      </c>
      <c r="D87" s="522" t="s">
        <v>1720</v>
      </c>
      <c r="E87" s="522" t="s">
        <v>1721</v>
      </c>
      <c r="F87" s="522" t="s">
        <v>1722</v>
      </c>
      <c r="G87" s="522" t="s">
        <v>1723</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1904</v>
      </c>
      <c r="C89" s="527" t="s">
        <v>1719</v>
      </c>
      <c r="D89" s="527" t="s">
        <v>1720</v>
      </c>
      <c r="E89" s="527" t="s">
        <v>1721</v>
      </c>
      <c r="F89" s="527" t="s">
        <v>1722</v>
      </c>
      <c r="G89" s="527" t="s">
        <v>1723</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1819</v>
      </c>
      <c r="C91" s="527" t="s">
        <v>1719</v>
      </c>
      <c r="D91" s="527" t="s">
        <v>1720</v>
      </c>
      <c r="E91" s="527" t="s">
        <v>1721</v>
      </c>
      <c r="F91" s="527" t="s">
        <v>1722</v>
      </c>
      <c r="G91" s="527" t="s">
        <v>1723</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1724</v>
      </c>
      <c r="C93" s="527" t="s">
        <v>1719</v>
      </c>
      <c r="D93" s="527" t="s">
        <v>1720</v>
      </c>
      <c r="E93" s="527" t="s">
        <v>1721</v>
      </c>
      <c r="F93" s="527" t="s">
        <v>1722</v>
      </c>
      <c r="G93" s="527" t="s">
        <v>1723</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1905</v>
      </c>
      <c r="C95" s="527" t="s">
        <v>1719</v>
      </c>
      <c r="D95" s="527" t="s">
        <v>1720</v>
      </c>
      <c r="E95" s="527" t="s">
        <v>1721</v>
      </c>
      <c r="F95" s="527" t="s">
        <v>1722</v>
      </c>
      <c r="G95" s="527" t="s">
        <v>1723</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1906</v>
      </c>
      <c r="C97" s="522" t="s">
        <v>1719</v>
      </c>
      <c r="D97" s="522" t="s">
        <v>1720</v>
      </c>
      <c r="E97" s="522" t="s">
        <v>1721</v>
      </c>
      <c r="F97" s="522" t="s">
        <v>1722</v>
      </c>
      <c r="G97" s="522" t="s">
        <v>1723</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1776</v>
      </c>
      <c r="C99" s="522" t="s">
        <v>1719</v>
      </c>
      <c r="D99" s="522" t="s">
        <v>1720</v>
      </c>
      <c r="E99" s="522" t="s">
        <v>1721</v>
      </c>
      <c r="F99" s="522" t="s">
        <v>1722</v>
      </c>
      <c r="G99" s="522" t="s">
        <v>1723</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1777</v>
      </c>
      <c r="C101" s="608" t="s">
        <v>1797</v>
      </c>
      <c r="D101" s="608" t="s">
        <v>1798</v>
      </c>
      <c r="E101" s="608" t="s">
        <v>1799</v>
      </c>
      <c r="F101" s="608" t="s">
        <v>1800</v>
      </c>
      <c r="G101" s="608" t="s">
        <v>1801</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1907</v>
      </c>
      <c r="D103" s="488" t="s">
        <v>1908</v>
      </c>
      <c r="E103" s="488" t="s">
        <v>1909</v>
      </c>
      <c r="F103" s="488" t="s">
        <v>1910</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1813</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1871</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1692</v>
      </c>
      <c r="B115" s="477" t="s">
        <v>1911</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1912</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1913</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1914</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1915</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56" priority="18" stopIfTrue="1" operator="containsText" text="超过">
      <formula>NOT(ISERROR(SEARCH("超过",F51)))</formula>
    </cfRule>
  </conditionalFormatting>
  <conditionalFormatting sqref="J53">
    <cfRule type="containsText" dxfId="55" priority="17" stopIfTrue="1" operator="containsText" text="超过">
      <formula>NOT(ISERROR(SEARCH("超过",J53)))</formula>
    </cfRule>
  </conditionalFormatting>
  <conditionalFormatting sqref="H53">
    <cfRule type="containsText" dxfId="54" priority="16" stopIfTrue="1" operator="containsText" text="超过">
      <formula>NOT(ISERROR(SEARCH("超过",H53)))</formula>
    </cfRule>
  </conditionalFormatting>
  <conditionalFormatting sqref="F53">
    <cfRule type="containsText" dxfId="53" priority="15" stopIfTrue="1" operator="containsText" text="超过">
      <formula>NOT(ISERROR(SEARCH("超过",F53)))</formula>
    </cfRule>
  </conditionalFormatting>
  <conditionalFormatting sqref="F52 H52 J52">
    <cfRule type="containsText" dxfId="52" priority="14" stopIfTrue="1" operator="containsText" text="超过">
      <formula>NOT(ISERROR(SEARCH("超过",F52)))</formula>
    </cfRule>
  </conditionalFormatting>
  <conditionalFormatting sqref="E51">
    <cfRule type="expression" dxfId="51" priority="13" stopIfTrue="1">
      <formula>$F$51="超过30%"</formula>
    </cfRule>
  </conditionalFormatting>
  <conditionalFormatting sqref="G53">
    <cfRule type="expression" dxfId="50" priority="12" stopIfTrue="1">
      <formula>$H$53="超过30%"</formula>
    </cfRule>
  </conditionalFormatting>
  <conditionalFormatting sqref="E52">
    <cfRule type="expression" dxfId="49" priority="11" stopIfTrue="1">
      <formula>$F$52="超过20%"</formula>
    </cfRule>
  </conditionalFormatting>
  <conditionalFormatting sqref="E53">
    <cfRule type="expression" dxfId="48" priority="10" stopIfTrue="1">
      <formula>$F$53="超过30%"</formula>
    </cfRule>
  </conditionalFormatting>
  <conditionalFormatting sqref="G51">
    <cfRule type="expression" dxfId="47" priority="9" stopIfTrue="1">
      <formula>$H$53+$H$51="超过30%"</formula>
    </cfRule>
  </conditionalFormatting>
  <conditionalFormatting sqref="G52">
    <cfRule type="expression" dxfId="46" priority="8" stopIfTrue="1">
      <formula>$H$52="超过20%"</formula>
    </cfRule>
  </conditionalFormatting>
  <conditionalFormatting sqref="I51">
    <cfRule type="expression" dxfId="45" priority="7" stopIfTrue="1">
      <formula>$J$51="超过30%"</formula>
    </cfRule>
  </conditionalFormatting>
  <conditionalFormatting sqref="I52">
    <cfRule type="expression" dxfId="44" priority="6" stopIfTrue="1">
      <formula>$J$52="超过20%"</formula>
    </cfRule>
  </conditionalFormatting>
  <conditionalFormatting sqref="I53">
    <cfRule type="expression" dxfId="43" priority="5" stopIfTrue="1">
      <formula>$J$53="超过30%"</formula>
    </cfRule>
  </conditionalFormatting>
  <conditionalFormatting sqref="F47">
    <cfRule type="expression" dxfId="42" priority="4">
      <formula>$D$47="简单平均"</formula>
    </cfRule>
  </conditionalFormatting>
  <conditionalFormatting sqref="H47">
    <cfRule type="expression" dxfId="41" priority="3">
      <formula>$D$47="简单平均"</formula>
    </cfRule>
  </conditionalFormatting>
  <conditionalFormatting sqref="J47">
    <cfRule type="expression" dxfId="40" priority="2">
      <formula>$D$47="简单平均"</formula>
    </cfRule>
  </conditionalFormatting>
  <conditionalFormatting sqref="F7:F45 H7:H45 J7:J45">
    <cfRule type="cellIs" dxfId="3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1865</v>
      </c>
      <c r="B1" s="349"/>
      <c r="C1" s="350" t="s">
        <v>1916</v>
      </c>
      <c r="D1" s="686"/>
      <c r="E1" s="686"/>
      <c r="F1" s="685" t="s">
        <v>1765</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1460</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1462</v>
      </c>
      <c r="B3" s="558" t="e">
        <f>ROUND(IF(D3="",B2*10000/'数据-汇总表'!E3,B2*10000/D3),0)</f>
        <v>#DIV/0!</v>
      </c>
      <c r="C3" s="203" t="s">
        <v>1867</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1767</v>
      </c>
      <c r="B4" s="356"/>
      <c r="C4" s="3916" t="s">
        <v>1768</v>
      </c>
      <c r="D4" s="3917"/>
      <c r="E4" s="3918" t="s">
        <v>1769</v>
      </c>
      <c r="F4" s="3919"/>
      <c r="G4" s="3916" t="s">
        <v>1770</v>
      </c>
      <c r="H4" s="3917"/>
      <c r="I4" s="3916" t="s">
        <v>1771</v>
      </c>
      <c r="J4" s="3917"/>
      <c r="K4" s="559" t="s">
        <v>1772</v>
      </c>
      <c r="L4" s="2715"/>
      <c r="M4" s="2716"/>
      <c r="N4" s="2716"/>
      <c r="O4" s="2716"/>
      <c r="P4" s="3920" t="s">
        <v>1773</v>
      </c>
      <c r="Q4" s="3921"/>
      <c r="R4" s="3926" t="s">
        <v>1769</v>
      </c>
      <c r="S4" s="3927"/>
      <c r="T4" s="3926" t="s">
        <v>1770</v>
      </c>
      <c r="U4" s="3927"/>
      <c r="V4" s="3932" t="s">
        <v>1771</v>
      </c>
      <c r="W4" s="3932"/>
      <c r="X4" s="1355"/>
      <c r="Y4" s="3926" t="s">
        <v>1773</v>
      </c>
      <c r="Z4" s="3927"/>
      <c r="AA4" s="3913" t="s">
        <v>1769</v>
      </c>
      <c r="AB4" s="3914" t="s">
        <v>1770</v>
      </c>
      <c r="AC4" s="3913" t="s">
        <v>1771</v>
      </c>
    </row>
    <row r="5" spans="1:29" ht="15">
      <c r="A5" s="358"/>
      <c r="B5" s="359"/>
      <c r="C5" s="3935" t="s">
        <v>1671</v>
      </c>
      <c r="D5" s="3936"/>
      <c r="E5" s="3942" t="s">
        <v>1672</v>
      </c>
      <c r="F5" s="3943"/>
      <c r="G5" s="3935" t="s">
        <v>1673</v>
      </c>
      <c r="H5" s="3936"/>
      <c r="I5" s="3935" t="s">
        <v>1674</v>
      </c>
      <c r="J5" s="3936"/>
      <c r="K5" s="559"/>
      <c r="L5" s="2715"/>
      <c r="M5" s="2716"/>
      <c r="N5" s="2716"/>
      <c r="O5" s="2716"/>
      <c r="P5" s="3922"/>
      <c r="Q5" s="3923"/>
      <c r="R5" s="3928"/>
      <c r="S5" s="3929"/>
      <c r="T5" s="3928"/>
      <c r="U5" s="3929"/>
      <c r="V5" s="3932"/>
      <c r="W5" s="3932"/>
      <c r="X5" s="1355"/>
      <c r="Y5" s="3928"/>
      <c r="Z5" s="3929"/>
      <c r="AA5" s="3914"/>
      <c r="AB5" s="3914"/>
      <c r="AC5" s="3914"/>
    </row>
    <row r="6" spans="1:29" ht="15.75" thickBot="1">
      <c r="A6" s="360"/>
      <c r="B6" s="361"/>
      <c r="C6" s="3966" t="s">
        <v>1917</v>
      </c>
      <c r="D6" s="3967"/>
      <c r="E6" s="3968" t="s">
        <v>1917</v>
      </c>
      <c r="F6" s="3969"/>
      <c r="G6" s="3966" t="s">
        <v>1917</v>
      </c>
      <c r="H6" s="3967"/>
      <c r="I6" s="3966" t="s">
        <v>1917</v>
      </c>
      <c r="J6" s="3967"/>
      <c r="K6" s="559" t="s">
        <v>1676</v>
      </c>
      <c r="L6" s="2715"/>
      <c r="M6" s="2716"/>
      <c r="N6" s="2716"/>
      <c r="O6" s="2716"/>
      <c r="P6" s="3924"/>
      <c r="Q6" s="3925"/>
      <c r="R6" s="3928"/>
      <c r="S6" s="3929"/>
      <c r="T6" s="3930"/>
      <c r="U6" s="3931"/>
      <c r="V6" s="3932"/>
      <c r="W6" s="3932"/>
      <c r="X6" s="1355"/>
      <c r="Y6" s="3930"/>
      <c r="Z6" s="3931"/>
      <c r="AA6" s="3915"/>
      <c r="AB6" s="3915"/>
      <c r="AC6" s="3915"/>
    </row>
    <row r="7" spans="1:29" s="108" customFormat="1" ht="15.75" thickBot="1">
      <c r="A7" s="362" t="s">
        <v>1677</v>
      </c>
      <c r="B7" s="363"/>
      <c r="C7" s="364">
        <f>'数据-取费表'!B2</f>
        <v>45400</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937" t="s">
        <v>1678</v>
      </c>
      <c r="Q7" s="3939"/>
      <c r="R7" s="701" t="s">
        <v>14</v>
      </c>
      <c r="S7" s="702">
        <f t="shared" ref="S7:S15" si="0">F7</f>
        <v>0</v>
      </c>
      <c r="T7" s="701" t="s">
        <v>14</v>
      </c>
      <c r="U7" s="702">
        <f t="shared" ref="U7:U15" si="1">H7</f>
        <v>0</v>
      </c>
      <c r="V7" s="701" t="s">
        <v>14</v>
      </c>
      <c r="W7" s="702">
        <f t="shared" ref="W7:W15" si="2">J7</f>
        <v>0</v>
      </c>
      <c r="X7" s="703"/>
      <c r="Y7" s="3937" t="s">
        <v>1678</v>
      </c>
      <c r="Z7" s="3938"/>
      <c r="AA7" s="704" t="e">
        <f>D7/F7</f>
        <v>#DIV/0!</v>
      </c>
      <c r="AB7" s="704" t="e">
        <f>D7/H7</f>
        <v>#DIV/0!</v>
      </c>
      <c r="AC7" s="704" t="e">
        <f>D7/J7</f>
        <v>#DIV/0!</v>
      </c>
    </row>
    <row r="8" spans="1:29" s="108" customFormat="1" ht="15.75" thickBot="1">
      <c r="A8" s="362" t="s">
        <v>1679</v>
      </c>
      <c r="B8" s="363"/>
      <c r="C8" s="368" t="s">
        <v>1680</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937" t="s">
        <v>1681</v>
      </c>
      <c r="Q8" s="3938"/>
      <c r="R8" s="701" t="s">
        <v>14</v>
      </c>
      <c r="S8" s="702">
        <f t="shared" si="0"/>
        <v>0</v>
      </c>
      <c r="T8" s="701" t="s">
        <v>14</v>
      </c>
      <c r="U8" s="702">
        <f t="shared" si="1"/>
        <v>0</v>
      </c>
      <c r="V8" s="701" t="s">
        <v>14</v>
      </c>
      <c r="W8" s="702">
        <f t="shared" si="2"/>
        <v>0</v>
      </c>
      <c r="X8" s="703"/>
      <c r="Y8" s="3937" t="s">
        <v>1681</v>
      </c>
      <c r="Z8" s="3938"/>
      <c r="AA8" s="704" t="e">
        <f t="shared" ref="AA8:AA40" si="3">D8/F8</f>
        <v>#DIV/0!</v>
      </c>
      <c r="AB8" s="704" t="e">
        <f t="shared" ref="AB8:AB40" si="4">D8/H8</f>
        <v>#DIV/0!</v>
      </c>
      <c r="AC8" s="704" t="e">
        <f t="shared" ref="AC8:AC40" si="5">D8/J8</f>
        <v>#DIV/0!</v>
      </c>
    </row>
    <row r="9" spans="1:29" s="108" customFormat="1">
      <c r="A9" s="369" t="s">
        <v>1682</v>
      </c>
      <c r="B9" s="63" t="s">
        <v>1683</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901"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704">
        <f t="shared" si="5"/>
        <v>1</v>
      </c>
    </row>
    <row r="10" spans="1:29" s="378" customFormat="1" ht="27">
      <c r="A10" s="374"/>
      <c r="B10" s="375" t="s">
        <v>1686</v>
      </c>
      <c r="C10" s="383"/>
      <c r="D10" s="127">
        <v>100</v>
      </c>
      <c r="E10" s="383"/>
      <c r="F10" s="127">
        <f>ROUND(100/'数据-取费表'!G16,0)</f>
        <v>101</v>
      </c>
      <c r="G10" s="383"/>
      <c r="H10" s="127">
        <f>ROUND(100/'数据-取费表'!G16,0)</f>
        <v>101</v>
      </c>
      <c r="I10" s="383"/>
      <c r="J10" s="127">
        <f>ROUND(100/'数据-取费表'!G16,0)</f>
        <v>101</v>
      </c>
      <c r="K10" s="620"/>
      <c r="L10" s="2719"/>
      <c r="M10" s="2720"/>
      <c r="N10" s="2720"/>
      <c r="O10" s="2773"/>
      <c r="P10" s="3901"/>
      <c r="Q10" s="1343" t="str">
        <f t="shared" si="6"/>
        <v>土地使用年限（年）</v>
      </c>
      <c r="R10" s="701" t="s">
        <v>14</v>
      </c>
      <c r="S10" s="702">
        <f t="shared" si="0"/>
        <v>101</v>
      </c>
      <c r="T10" s="701" t="s">
        <v>14</v>
      </c>
      <c r="U10" s="702">
        <f t="shared" si="1"/>
        <v>101</v>
      </c>
      <c r="V10" s="701" t="s">
        <v>14</v>
      </c>
      <c r="W10" s="702">
        <f t="shared" si="2"/>
        <v>101</v>
      </c>
      <c r="X10" s="703"/>
      <c r="Y10" s="3757"/>
      <c r="Z10" s="52" t="str">
        <f t="shared" si="7"/>
        <v>土地使用年限（年）</v>
      </c>
      <c r="AA10" s="704">
        <f t="shared" si="3"/>
        <v>0.99009900990099009</v>
      </c>
      <c r="AB10" s="704">
        <f t="shared" si="4"/>
        <v>0.99009900990099009</v>
      </c>
      <c r="AC10" s="704">
        <f t="shared" si="5"/>
        <v>0.99009900990099009</v>
      </c>
    </row>
    <row r="11" spans="1:29" ht="15">
      <c r="A11" s="379"/>
      <c r="B11" s="375" t="s">
        <v>1687</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901"/>
      <c r="Q11" s="1343" t="str">
        <f t="shared" si="6"/>
        <v>容积率</v>
      </c>
      <c r="R11" s="701" t="s">
        <v>14</v>
      </c>
      <c r="S11" s="702" t="e">
        <f t="shared" si="0"/>
        <v>#N/A</v>
      </c>
      <c r="T11" s="701" t="s">
        <v>14</v>
      </c>
      <c r="U11" s="702" t="e">
        <f t="shared" si="1"/>
        <v>#N/A</v>
      </c>
      <c r="V11" s="701" t="s">
        <v>14</v>
      </c>
      <c r="W11" s="702" t="e">
        <f t="shared" si="2"/>
        <v>#N/A</v>
      </c>
      <c r="X11" s="703"/>
      <c r="Y11" s="3757"/>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901"/>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901"/>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901"/>
      <c r="Q14" s="1343">
        <f t="shared" si="6"/>
        <v>111</v>
      </c>
      <c r="R14" s="701" t="s">
        <v>14</v>
      </c>
      <c r="S14" s="702">
        <f t="shared" si="0"/>
        <v>100</v>
      </c>
      <c r="T14" s="701" t="s">
        <v>14</v>
      </c>
      <c r="U14" s="702">
        <f t="shared" si="1"/>
        <v>100</v>
      </c>
      <c r="V14" s="701" t="s">
        <v>14</v>
      </c>
      <c r="W14" s="702">
        <f t="shared" si="2"/>
        <v>100</v>
      </c>
      <c r="X14" s="703"/>
      <c r="Y14" s="3757"/>
      <c r="Z14" s="52">
        <f t="shared" si="7"/>
        <v>111</v>
      </c>
      <c r="AA14" s="704">
        <f t="shared" si="3"/>
        <v>1</v>
      </c>
      <c r="AB14" s="704">
        <f t="shared" si="4"/>
        <v>1</v>
      </c>
      <c r="AC14" s="704">
        <f t="shared" si="5"/>
        <v>1</v>
      </c>
    </row>
    <row r="15" spans="1:29" ht="57">
      <c r="A15" s="391" t="s">
        <v>1688</v>
      </c>
      <c r="B15" s="577" t="s">
        <v>1918</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903" t="s">
        <v>1689</v>
      </c>
      <c r="Q15" s="1352" t="str">
        <f t="shared" si="6"/>
        <v>产业集聚程度</v>
      </c>
      <c r="R15" s="705" t="s">
        <v>14</v>
      </c>
      <c r="S15" s="706">
        <f t="shared" si="0"/>
        <v>100</v>
      </c>
      <c r="T15" s="705" t="s">
        <v>14</v>
      </c>
      <c r="U15" s="706">
        <f t="shared" si="1"/>
        <v>100</v>
      </c>
      <c r="V15" s="705" t="s">
        <v>14</v>
      </c>
      <c r="W15" s="706">
        <f t="shared" si="2"/>
        <v>100</v>
      </c>
      <c r="X15" s="1355"/>
      <c r="Y15" s="3903" t="s">
        <v>1689</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904"/>
      <c r="Q16" s="1352"/>
      <c r="R16" s="705"/>
      <c r="S16" s="706"/>
      <c r="T16" s="705"/>
      <c r="U16" s="706"/>
      <c r="V16" s="705"/>
      <c r="W16" s="706"/>
      <c r="X16" s="1355"/>
      <c r="Y16" s="3904"/>
      <c r="Z16" s="1356"/>
      <c r="AA16" s="1353">
        <v>1</v>
      </c>
      <c r="AB16" s="1353">
        <v>1</v>
      </c>
      <c r="AC16" s="1353">
        <v>1</v>
      </c>
    </row>
    <row r="17" spans="1:29" ht="85.5">
      <c r="A17" s="379"/>
      <c r="B17" s="579" t="s">
        <v>1831</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904"/>
      <c r="Q17" s="1352" t="str">
        <f>B17</f>
        <v>交通便捷度</v>
      </c>
      <c r="R17" s="705" t="s">
        <v>14</v>
      </c>
      <c r="S17" s="706">
        <f>F17</f>
        <v>100</v>
      </c>
      <c r="T17" s="705" t="s">
        <v>14</v>
      </c>
      <c r="U17" s="706">
        <f>H17</f>
        <v>100</v>
      </c>
      <c r="V17" s="705" t="s">
        <v>14</v>
      </c>
      <c r="W17" s="706">
        <f>J17</f>
        <v>100</v>
      </c>
      <c r="X17" s="1355"/>
      <c r="Y17" s="3904"/>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904"/>
      <c r="Q18" s="1352"/>
      <c r="R18" s="705"/>
      <c r="S18" s="706"/>
      <c r="T18" s="705"/>
      <c r="U18" s="706"/>
      <c r="V18" s="705"/>
      <c r="W18" s="706"/>
      <c r="X18" s="1355"/>
      <c r="Y18" s="3904"/>
      <c r="Z18" s="1356"/>
      <c r="AA18" s="1353">
        <v>1</v>
      </c>
      <c r="AB18" s="1353">
        <v>1</v>
      </c>
      <c r="AC18" s="1353">
        <v>1</v>
      </c>
    </row>
    <row r="19" spans="1:29" ht="15">
      <c r="A19" s="379"/>
      <c r="B19" s="579" t="s">
        <v>1869</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904"/>
      <c r="Q19" s="1352" t="str">
        <f t="shared" ref="Q19:Q33" si="8">B19</f>
        <v>区域土地利用方向</v>
      </c>
      <c r="R19" s="705" t="s">
        <v>14</v>
      </c>
      <c r="S19" s="706">
        <f>F19</f>
        <v>100</v>
      </c>
      <c r="T19" s="705" t="s">
        <v>14</v>
      </c>
      <c r="U19" s="706">
        <f>H19</f>
        <v>100</v>
      </c>
      <c r="V19" s="705" t="s">
        <v>14</v>
      </c>
      <c r="W19" s="706">
        <f>J19</f>
        <v>100</v>
      </c>
      <c r="X19" s="1355"/>
      <c r="Y19" s="3904"/>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904"/>
      <c r="Q20" s="1352"/>
      <c r="R20" s="705"/>
      <c r="S20" s="706"/>
      <c r="T20" s="705"/>
      <c r="U20" s="706"/>
      <c r="V20" s="705"/>
      <c r="W20" s="706"/>
      <c r="X20" s="1355"/>
      <c r="Y20" s="3904"/>
      <c r="Z20" s="1356"/>
      <c r="AA20" s="1353"/>
      <c r="AB20" s="1353"/>
      <c r="AC20" s="1353"/>
    </row>
    <row r="21" spans="1:29" ht="71.25">
      <c r="A21" s="358"/>
      <c r="B21" s="579" t="s">
        <v>1919</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904"/>
      <c r="Q21" s="1352" t="str">
        <f t="shared" si="8"/>
        <v>环境状况</v>
      </c>
      <c r="R21" s="705" t="s">
        <v>14</v>
      </c>
      <c r="S21" s="706">
        <f>F21</f>
        <v>100</v>
      </c>
      <c r="T21" s="705" t="s">
        <v>14</v>
      </c>
      <c r="U21" s="706">
        <f>H21</f>
        <v>100</v>
      </c>
      <c r="V21" s="705" t="s">
        <v>14</v>
      </c>
      <c r="W21" s="706">
        <f>J21</f>
        <v>100</v>
      </c>
      <c r="X21" s="1355"/>
      <c r="Y21" s="3904"/>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904"/>
      <c r="Q22" s="1352"/>
      <c r="R22" s="705"/>
      <c r="S22" s="706"/>
      <c r="T22" s="705"/>
      <c r="U22" s="706"/>
      <c r="V22" s="705"/>
      <c r="W22" s="706"/>
      <c r="X22" s="1355"/>
      <c r="Y22" s="3904"/>
      <c r="Z22" s="1356"/>
      <c r="AA22" s="1353">
        <v>1</v>
      </c>
      <c r="AB22" s="1353">
        <v>1</v>
      </c>
      <c r="AC22" s="1353">
        <v>1</v>
      </c>
    </row>
    <row r="23" spans="1:29" s="108" customFormat="1" ht="42.75">
      <c r="A23" s="597"/>
      <c r="B23" s="581" t="s">
        <v>1776</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904"/>
      <c r="Q23" s="1343" t="str">
        <f t="shared" si="8"/>
        <v>公共配套设施</v>
      </c>
      <c r="R23" s="701" t="s">
        <v>14</v>
      </c>
      <c r="S23" s="702">
        <f>F23</f>
        <v>100</v>
      </c>
      <c r="T23" s="701" t="s">
        <v>14</v>
      </c>
      <c r="U23" s="702">
        <f>H23</f>
        <v>100</v>
      </c>
      <c r="V23" s="701" t="s">
        <v>14</v>
      </c>
      <c r="W23" s="702">
        <f>J23</f>
        <v>100</v>
      </c>
      <c r="X23" s="703"/>
      <c r="Y23" s="3904"/>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904"/>
      <c r="Q24" s="1343"/>
      <c r="R24" s="701"/>
      <c r="S24" s="702"/>
      <c r="T24" s="701"/>
      <c r="U24" s="702"/>
      <c r="V24" s="701"/>
      <c r="W24" s="702"/>
      <c r="X24" s="703"/>
      <c r="Y24" s="3904"/>
      <c r="Z24" s="52"/>
      <c r="AA24" s="704">
        <v>1</v>
      </c>
      <c r="AB24" s="704">
        <v>1</v>
      </c>
      <c r="AC24" s="704">
        <v>1</v>
      </c>
    </row>
    <row r="25" spans="1:29" s="108" customFormat="1" ht="28.5">
      <c r="A25" s="597"/>
      <c r="B25" s="581" t="s">
        <v>1777</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904"/>
      <c r="Q25" s="1343" t="str">
        <f t="shared" ref="Q25" si="9">B25</f>
        <v>基础设施水平</v>
      </c>
      <c r="R25" s="701" t="s">
        <v>14</v>
      </c>
      <c r="S25" s="702">
        <f>F25</f>
        <v>100</v>
      </c>
      <c r="T25" s="701" t="s">
        <v>14</v>
      </c>
      <c r="U25" s="702">
        <f>H25</f>
        <v>100</v>
      </c>
      <c r="V25" s="701" t="s">
        <v>14</v>
      </c>
      <c r="W25" s="702">
        <f>J25</f>
        <v>100</v>
      </c>
      <c r="X25" s="703"/>
      <c r="Y25" s="3904"/>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904"/>
      <c r="Q26" s="1343"/>
      <c r="R26" s="701"/>
      <c r="S26" s="702"/>
      <c r="T26" s="701"/>
      <c r="U26" s="702"/>
      <c r="V26" s="701"/>
      <c r="W26" s="702"/>
      <c r="X26" s="703"/>
      <c r="Y26" s="3904"/>
      <c r="Z26" s="52"/>
      <c r="AA26" s="704">
        <v>1</v>
      </c>
      <c r="AB26" s="704">
        <v>1</v>
      </c>
      <c r="AC26" s="704">
        <v>1</v>
      </c>
    </row>
    <row r="27" spans="1:29" ht="15">
      <c r="A27" s="379"/>
      <c r="B27" s="580" t="s">
        <v>1778</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904"/>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904"/>
      <c r="Z27" s="1356" t="str">
        <f t="shared" ref="Z27:Z40" si="13">Q27</f>
        <v>临街状况</v>
      </c>
      <c r="AA27" s="1353">
        <f t="shared" si="3"/>
        <v>1</v>
      </c>
      <c r="AB27" s="1353">
        <f t="shared" si="4"/>
        <v>1</v>
      </c>
      <c r="AC27" s="1353">
        <f t="shared" si="5"/>
        <v>1</v>
      </c>
    </row>
    <row r="28" spans="1:29" ht="27">
      <c r="A28" s="379"/>
      <c r="B28" s="581" t="s">
        <v>1813</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904"/>
      <c r="Q28" s="1352" t="str">
        <f t="shared" si="8"/>
        <v>毗邻道路的类型与等级</v>
      </c>
      <c r="R28" s="705" t="s">
        <v>14</v>
      </c>
      <c r="S28" s="706">
        <f t="shared" si="10"/>
        <v>100</v>
      </c>
      <c r="T28" s="705" t="s">
        <v>14</v>
      </c>
      <c r="U28" s="706">
        <f t="shared" si="11"/>
        <v>100</v>
      </c>
      <c r="V28" s="705" t="s">
        <v>14</v>
      </c>
      <c r="W28" s="706">
        <f t="shared" si="12"/>
        <v>100</v>
      </c>
      <c r="X28" s="1355"/>
      <c r="Y28" s="3904"/>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904"/>
      <c r="Q29" s="1352"/>
      <c r="R29" s="705"/>
      <c r="S29" s="706"/>
      <c r="T29" s="705"/>
      <c r="U29" s="706"/>
      <c r="V29" s="705"/>
      <c r="W29" s="706"/>
      <c r="X29" s="1355"/>
      <c r="Y29" s="3904"/>
      <c r="Z29" s="1356"/>
      <c r="AA29" s="1353">
        <v>1</v>
      </c>
      <c r="AB29" s="1353">
        <v>1</v>
      </c>
      <c r="AC29" s="1353">
        <v>1</v>
      </c>
    </row>
    <row r="30" spans="1:29" ht="15">
      <c r="A30" s="379"/>
      <c r="B30" s="602" t="s">
        <v>1871</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904"/>
      <c r="Q30" s="1352" t="str">
        <f t="shared" si="8"/>
        <v>土地级别</v>
      </c>
      <c r="R30" s="705" t="s">
        <v>14</v>
      </c>
      <c r="S30" s="706">
        <f t="shared" si="10"/>
        <v>100</v>
      </c>
      <c r="T30" s="705" t="s">
        <v>14</v>
      </c>
      <c r="U30" s="706">
        <f t="shared" si="11"/>
        <v>100</v>
      </c>
      <c r="V30" s="705" t="s">
        <v>14</v>
      </c>
      <c r="W30" s="706">
        <f t="shared" si="12"/>
        <v>100</v>
      </c>
      <c r="X30" s="1355"/>
      <c r="Y30" s="3904"/>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904"/>
      <c r="Q31" s="1352">
        <f t="shared" si="8"/>
        <v>111</v>
      </c>
      <c r="R31" s="705" t="s">
        <v>14</v>
      </c>
      <c r="S31" s="706">
        <f t="shared" si="10"/>
        <v>100</v>
      </c>
      <c r="T31" s="705" t="s">
        <v>14</v>
      </c>
      <c r="U31" s="706">
        <f t="shared" si="11"/>
        <v>100</v>
      </c>
      <c r="V31" s="705" t="s">
        <v>14</v>
      </c>
      <c r="W31" s="706">
        <f t="shared" si="12"/>
        <v>100</v>
      </c>
      <c r="X31" s="1355"/>
      <c r="Y31" s="3904"/>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961" t="s">
        <v>1694</v>
      </c>
      <c r="Q32" s="1352">
        <f t="shared" si="8"/>
        <v>111</v>
      </c>
      <c r="R32" s="705" t="s">
        <v>14</v>
      </c>
      <c r="S32" s="706">
        <f t="shared" si="10"/>
        <v>100</v>
      </c>
      <c r="T32" s="705" t="s">
        <v>14</v>
      </c>
      <c r="U32" s="706">
        <f t="shared" si="11"/>
        <v>100</v>
      </c>
      <c r="V32" s="705" t="s">
        <v>14</v>
      </c>
      <c r="W32" s="706">
        <f t="shared" si="12"/>
        <v>100</v>
      </c>
      <c r="X32" s="1355"/>
      <c r="Y32" s="3908" t="s">
        <v>1694</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908"/>
      <c r="Q33" s="1352">
        <f t="shared" si="8"/>
        <v>111</v>
      </c>
      <c r="R33" s="708" t="s">
        <v>14</v>
      </c>
      <c r="S33" s="709">
        <f t="shared" si="10"/>
        <v>100</v>
      </c>
      <c r="T33" s="708" t="s">
        <v>14</v>
      </c>
      <c r="U33" s="709">
        <f t="shared" si="11"/>
        <v>100</v>
      </c>
      <c r="V33" s="708" t="s">
        <v>14</v>
      </c>
      <c r="W33" s="709">
        <f t="shared" si="12"/>
        <v>100</v>
      </c>
      <c r="X33" s="710"/>
      <c r="Y33" s="3908"/>
      <c r="Z33" s="711">
        <f t="shared" si="13"/>
        <v>111</v>
      </c>
      <c r="AA33" s="1353">
        <f t="shared" si="3"/>
        <v>1</v>
      </c>
      <c r="AB33" s="1353">
        <f t="shared" si="4"/>
        <v>1</v>
      </c>
      <c r="AC33" s="1353">
        <f t="shared" si="5"/>
        <v>1</v>
      </c>
    </row>
    <row r="34" spans="1:31" ht="15">
      <c r="A34" s="391" t="s">
        <v>1692</v>
      </c>
      <c r="B34" s="407" t="s">
        <v>1872</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908"/>
      <c r="Q34" s="1352" t="str">
        <f>B34</f>
        <v>宗地面积</v>
      </c>
      <c r="R34" s="705" t="s">
        <v>14</v>
      </c>
      <c r="S34" s="706" t="e">
        <f t="shared" si="10"/>
        <v>#N/A</v>
      </c>
      <c r="T34" s="705" t="s">
        <v>14</v>
      </c>
      <c r="U34" s="706" t="e">
        <f t="shared" si="11"/>
        <v>#N/A</v>
      </c>
      <c r="V34" s="705" t="s">
        <v>14</v>
      </c>
      <c r="W34" s="706" t="e">
        <f t="shared" si="12"/>
        <v>#N/A</v>
      </c>
      <c r="X34" s="1355"/>
      <c r="Y34" s="3908"/>
      <c r="Z34" s="1356" t="str">
        <f t="shared" si="13"/>
        <v>宗地面积</v>
      </c>
      <c r="AA34" s="1353" t="e">
        <f t="shared" si="3"/>
        <v>#N/A</v>
      </c>
      <c r="AB34" s="1353" t="e">
        <f t="shared" si="4"/>
        <v>#N/A</v>
      </c>
      <c r="AC34" s="1353" t="e">
        <f t="shared" si="5"/>
        <v>#N/A</v>
      </c>
    </row>
    <row r="35" spans="1:31" ht="15">
      <c r="A35" s="423"/>
      <c r="B35" s="375" t="s">
        <v>1873</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908"/>
      <c r="Q35" s="1352" t="str">
        <f t="shared" ref="Q35:Q40" si="14">B35</f>
        <v>宗地形状</v>
      </c>
      <c r="R35" s="705" t="s">
        <v>14</v>
      </c>
      <c r="S35" s="706">
        <f t="shared" si="10"/>
        <v>100</v>
      </c>
      <c r="T35" s="705" t="s">
        <v>14</v>
      </c>
      <c r="U35" s="706">
        <f t="shared" si="11"/>
        <v>100</v>
      </c>
      <c r="V35" s="705" t="s">
        <v>14</v>
      </c>
      <c r="W35" s="706">
        <f t="shared" si="12"/>
        <v>100</v>
      </c>
      <c r="X35" s="1355"/>
      <c r="Y35" s="3908"/>
      <c r="Z35" s="1356" t="str">
        <f t="shared" si="13"/>
        <v>宗地形状</v>
      </c>
      <c r="AA35" s="1353">
        <f t="shared" si="3"/>
        <v>1</v>
      </c>
      <c r="AB35" s="1353">
        <f t="shared" si="4"/>
        <v>1</v>
      </c>
      <c r="AC35" s="1353">
        <f t="shared" si="5"/>
        <v>1</v>
      </c>
    </row>
    <row r="36" spans="1:31" s="108" customFormat="1" ht="15">
      <c r="A36" s="424"/>
      <c r="B36" s="375" t="s">
        <v>1875</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908"/>
      <c r="Q36" s="1352" t="str">
        <f t="shared" si="14"/>
        <v>宗地开发程度</v>
      </c>
      <c r="R36" s="701" t="s">
        <v>14</v>
      </c>
      <c r="S36" s="702">
        <f t="shared" si="10"/>
        <v>100</v>
      </c>
      <c r="T36" s="701" t="s">
        <v>14</v>
      </c>
      <c r="U36" s="702">
        <f t="shared" si="11"/>
        <v>100</v>
      </c>
      <c r="V36" s="701" t="s">
        <v>14</v>
      </c>
      <c r="W36" s="702">
        <f t="shared" si="12"/>
        <v>100</v>
      </c>
      <c r="X36" s="703"/>
      <c r="Y36" s="3908"/>
      <c r="Z36" s="52" t="str">
        <f t="shared" si="13"/>
        <v>宗地开发程度</v>
      </c>
      <c r="AA36" s="704">
        <f t="shared" si="3"/>
        <v>1</v>
      </c>
      <c r="AB36" s="704">
        <f t="shared" si="4"/>
        <v>1</v>
      </c>
      <c r="AC36" s="704">
        <f t="shared" si="5"/>
        <v>1</v>
      </c>
    </row>
    <row r="37" spans="1:31" ht="15">
      <c r="A37" s="423"/>
      <c r="B37" s="375" t="s">
        <v>1876</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908" t="s">
        <v>1694</v>
      </c>
      <c r="Q37" s="1352" t="str">
        <f t="shared" si="14"/>
        <v>工程地质条件</v>
      </c>
      <c r="R37" s="705" t="s">
        <v>14</v>
      </c>
      <c r="S37" s="706">
        <f t="shared" si="10"/>
        <v>100</v>
      </c>
      <c r="T37" s="705" t="s">
        <v>14</v>
      </c>
      <c r="U37" s="706">
        <f t="shared" si="11"/>
        <v>100</v>
      </c>
      <c r="V37" s="705" t="s">
        <v>14</v>
      </c>
      <c r="W37" s="706">
        <f t="shared" si="12"/>
        <v>100</v>
      </c>
      <c r="X37" s="1355"/>
      <c r="Y37" s="3908" t="s">
        <v>1694</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908"/>
      <c r="Q38" s="1352">
        <f t="shared" si="14"/>
        <v>111</v>
      </c>
      <c r="R38" s="705" t="s">
        <v>14</v>
      </c>
      <c r="S38" s="706">
        <f t="shared" si="10"/>
        <v>100</v>
      </c>
      <c r="T38" s="705" t="s">
        <v>14</v>
      </c>
      <c r="U38" s="706">
        <f t="shared" si="11"/>
        <v>100</v>
      </c>
      <c r="V38" s="705" t="s">
        <v>14</v>
      </c>
      <c r="W38" s="706">
        <f t="shared" si="12"/>
        <v>100</v>
      </c>
      <c r="X38" s="1355"/>
      <c r="Y38" s="3908"/>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908"/>
      <c r="Q39" s="1352">
        <f t="shared" si="14"/>
        <v>111</v>
      </c>
      <c r="R39" s="705" t="s">
        <v>14</v>
      </c>
      <c r="S39" s="706">
        <f t="shared" si="10"/>
        <v>100</v>
      </c>
      <c r="T39" s="705" t="s">
        <v>14</v>
      </c>
      <c r="U39" s="706">
        <f t="shared" si="11"/>
        <v>100</v>
      </c>
      <c r="V39" s="705" t="s">
        <v>14</v>
      </c>
      <c r="W39" s="706">
        <f t="shared" si="12"/>
        <v>100</v>
      </c>
      <c r="X39" s="1355"/>
      <c r="Y39" s="3908"/>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908"/>
      <c r="Q40" s="1352">
        <f t="shared" si="14"/>
        <v>111</v>
      </c>
      <c r="R40" s="708" t="s">
        <v>14</v>
      </c>
      <c r="S40" s="709">
        <f t="shared" si="10"/>
        <v>100</v>
      </c>
      <c r="T40" s="708" t="s">
        <v>14</v>
      </c>
      <c r="U40" s="709">
        <f t="shared" si="11"/>
        <v>100</v>
      </c>
      <c r="V40" s="708" t="s">
        <v>14</v>
      </c>
      <c r="W40" s="709">
        <f t="shared" si="12"/>
        <v>100</v>
      </c>
      <c r="X40" s="710"/>
      <c r="Y40" s="3908"/>
      <c r="Z40" s="711">
        <f t="shared" si="13"/>
        <v>111</v>
      </c>
      <c r="AA40" s="1353">
        <f t="shared" si="3"/>
        <v>1</v>
      </c>
      <c r="AB40" s="1353">
        <f t="shared" si="4"/>
        <v>1</v>
      </c>
      <c r="AC40" s="1353">
        <f t="shared" si="5"/>
        <v>1</v>
      </c>
    </row>
    <row r="41" spans="1:31" ht="15">
      <c r="A41" s="430" t="s">
        <v>1842</v>
      </c>
      <c r="B41" s="1982" t="s">
        <v>1920</v>
      </c>
      <c r="C41" s="630" t="s">
        <v>0</v>
      </c>
      <c r="D41" s="432"/>
      <c r="E41" s="433"/>
      <c r="F41" s="434"/>
      <c r="G41" s="435"/>
      <c r="H41" s="436"/>
      <c r="I41" s="433"/>
      <c r="J41" s="436"/>
      <c r="K41" s="714"/>
      <c r="L41" s="2724"/>
      <c r="M41" s="2716"/>
      <c r="N41" s="2716"/>
      <c r="O41" s="2725"/>
      <c r="P41" s="3901" t="str">
        <f>A41</f>
        <v>成交单价</v>
      </c>
      <c r="Q41" s="3901"/>
      <c r="R41" s="3932">
        <f>E41</f>
        <v>0</v>
      </c>
      <c r="S41" s="3932"/>
      <c r="T41" s="3932">
        <f>G41</f>
        <v>0</v>
      </c>
      <c r="U41" s="3932"/>
      <c r="V41" s="3932">
        <f>I41</f>
        <v>0</v>
      </c>
      <c r="W41" s="3932"/>
      <c r="X41" s="690"/>
      <c r="Y41" s="712"/>
      <c r="Z41" s="690"/>
      <c r="AA41" s="690"/>
      <c r="AB41" s="690"/>
      <c r="AC41" s="690"/>
    </row>
    <row r="42" spans="1:31" ht="15.75" thickBot="1">
      <c r="A42" s="437" t="s">
        <v>1791</v>
      </c>
      <c r="B42" s="631"/>
      <c r="C42" s="440" t="e">
        <f>R43</f>
        <v>#DIV/0!</v>
      </c>
      <c r="D42" s="2317" t="s">
        <v>2135</v>
      </c>
      <c r="E42" s="440" t="e">
        <f>R42</f>
        <v>#DIV/0!</v>
      </c>
      <c r="F42" s="2318"/>
      <c r="G42" s="439" t="e">
        <f>T42</f>
        <v>#DIV/0!</v>
      </c>
      <c r="H42" s="2318"/>
      <c r="I42" s="440" t="e">
        <f>V42</f>
        <v>#DIV/0!</v>
      </c>
      <c r="J42" s="2318"/>
      <c r="K42" s="2320">
        <f>F42+H42+J42</f>
        <v>0</v>
      </c>
      <c r="L42" s="2724"/>
      <c r="M42" s="2716"/>
      <c r="N42" s="2716"/>
      <c r="O42" s="2725"/>
      <c r="P42" s="3901" t="str">
        <f>A42</f>
        <v>比较价值（元/平方米）</v>
      </c>
      <c r="Q42" s="3901"/>
      <c r="R42" s="3963" t="e">
        <f>ROUND(PRODUCT(R41,AA7:AA40),0)</f>
        <v>#DIV/0!</v>
      </c>
      <c r="S42" s="3963"/>
      <c r="T42" s="3963" t="e">
        <f>ROUND(PRODUCT(T41,AB7:AB40),0)</f>
        <v>#DIV/0!</v>
      </c>
      <c r="U42" s="3963"/>
      <c r="V42" s="3963" t="e">
        <f>ROUND(PRODUCT(V41,AC7:AC40),0)</f>
        <v>#DIV/0!</v>
      </c>
      <c r="W42" s="3963"/>
      <c r="X42" s="690"/>
      <c r="Y42" s="690"/>
      <c r="Z42" s="690"/>
      <c r="AA42" s="690"/>
      <c r="AB42" s="690"/>
      <c r="AC42" s="690"/>
    </row>
    <row r="43" spans="1:31" ht="15.75" thickBot="1">
      <c r="A43" s="441" t="s">
        <v>1792</v>
      </c>
      <c r="B43" s="442"/>
      <c r="C43" s="443" t="e">
        <f>R43</f>
        <v>#DIV/0!</v>
      </c>
      <c r="D43" s="443"/>
      <c r="E43" s="443"/>
      <c r="F43" s="443"/>
      <c r="G43" s="443"/>
      <c r="H43" s="443"/>
      <c r="I43" s="443"/>
      <c r="J43" s="443"/>
      <c r="K43" s="715"/>
      <c r="L43" s="2724"/>
      <c r="M43" s="2716"/>
      <c r="N43" s="2716"/>
      <c r="O43" s="2725"/>
      <c r="P43" s="3898" t="str">
        <f>A43</f>
        <v>估价对象XX用房的比较价值（楼面单价，元/平方米）</v>
      </c>
      <c r="Q43" s="3899"/>
      <c r="R43" s="3964" t="e">
        <f>ROUND(IF(D42="简单平均",AVERAGE(R42:W42),R42*F42+T42*H42+V42*J42),0)</f>
        <v>#DIV/0!</v>
      </c>
      <c r="S43" s="3964"/>
      <c r="T43" s="3964"/>
      <c r="U43" s="3964"/>
      <c r="V43" s="3964"/>
      <c r="W43" s="3964"/>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1793</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1794</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1795</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1879</v>
      </c>
      <c r="B50" s="633" t="s">
        <v>1880</v>
      </c>
      <c r="C50" s="1983" t="s">
        <v>1881</v>
      </c>
      <c r="D50" s="1984" t="s">
        <v>1882</v>
      </c>
      <c r="E50" s="634" t="s">
        <v>1883</v>
      </c>
      <c r="F50" s="635" t="s">
        <v>1884</v>
      </c>
      <c r="G50" s="3916" t="s">
        <v>1885</v>
      </c>
      <c r="H50" s="3965"/>
      <c r="I50" s="1356" t="s">
        <v>1921</v>
      </c>
      <c r="J50" s="1356">
        <f>项目基本情况!F35</f>
        <v>0</v>
      </c>
      <c r="K50" s="1986" t="s">
        <v>1887</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1888</v>
      </c>
      <c r="B51" s="637" t="e">
        <f>C43</f>
        <v>#DIV/0!</v>
      </c>
      <c r="C51" s="638">
        <v>1</v>
      </c>
      <c r="D51" s="944">
        <v>1</v>
      </c>
      <c r="E51" s="638">
        <f>'数据-汇总表'!E8+'数据-汇总表'!E9</f>
        <v>18448.600000000002</v>
      </c>
      <c r="F51" s="639" t="e">
        <f t="shared" ref="F51:F60" si="15">ROUND(B51*E51/10000,0)</f>
        <v>#DIV/0!</v>
      </c>
      <c r="G51" s="3912"/>
      <c r="H51" s="3901"/>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1889</v>
      </c>
      <c r="B52" s="218" t="e">
        <f>ROUND($C$43*C52*D52,0)</f>
        <v>#DIV/0!</v>
      </c>
      <c r="C52" s="171">
        <f t="shared" ref="C52:C60" si="16">IF($C$50="北京市系数",I52,J52)</f>
        <v>0</v>
      </c>
      <c r="D52" s="945">
        <v>0.25</v>
      </c>
      <c r="E52" s="642"/>
      <c r="F52" s="639" t="e">
        <f t="shared" si="15"/>
        <v>#DIV/0!</v>
      </c>
      <c r="G52" s="3006" t="s">
        <v>1890</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1891</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1892</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1893</v>
      </c>
      <c r="B56" s="218" t="e">
        <f t="shared" si="17"/>
        <v>#DIV/0!</v>
      </c>
      <c r="C56" s="171">
        <f t="shared" si="16"/>
        <v>0.3</v>
      </c>
      <c r="D56" s="945">
        <v>0.25</v>
      </c>
      <c r="E56" s="217">
        <f>'数据-汇总表'!E11</f>
        <v>0</v>
      </c>
      <c r="F56" s="639" t="e">
        <f t="shared" si="15"/>
        <v>#DIV/0!</v>
      </c>
      <c r="G56" s="1987" t="s">
        <v>1894</v>
      </c>
      <c r="H56" s="887" t="str">
        <f>项目基本情况!C37</f>
        <v>二级</v>
      </c>
      <c r="I56" s="773">
        <f>SUMIF(修正!A57:A68,H56,修正!E57:E68)</f>
        <v>0.3</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1895</v>
      </c>
      <c r="B57" s="218" t="e">
        <f t="shared" si="17"/>
        <v>#DIV/0!</v>
      </c>
      <c r="C57" s="171">
        <f t="shared" si="16"/>
        <v>0.3</v>
      </c>
      <c r="D57" s="945">
        <v>0.25</v>
      </c>
      <c r="E57" s="217">
        <f>'数据-汇总表'!E12</f>
        <v>0</v>
      </c>
      <c r="F57" s="639" t="e">
        <f t="shared" si="15"/>
        <v>#DIV/0!</v>
      </c>
      <c r="G57" s="892" t="s">
        <v>1896</v>
      </c>
      <c r="H57" s="887" t="str">
        <f>IF(G57="商业",项目基本情况!B37,IF(G57="办公",项目基本情况!C37,IF(G57="住宅",项目基本情况!D37,项目基本情况!E37)))</f>
        <v>二级</v>
      </c>
      <c r="I57" s="773">
        <f>SUMIF(修正!A57:A68,H57,修正!F57:F68)</f>
        <v>0.3</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1897</v>
      </c>
      <c r="B58" s="218" t="e">
        <f t="shared" si="17"/>
        <v>#DIV/0!</v>
      </c>
      <c r="C58" s="171">
        <f t="shared" si="16"/>
        <v>0</v>
      </c>
      <c r="D58" s="945">
        <v>0.25</v>
      </c>
      <c r="E58" s="217">
        <f>'数据-汇总表'!E13</f>
        <v>0</v>
      </c>
      <c r="F58" s="639" t="e">
        <f t="shared" si="15"/>
        <v>#DIV/0!</v>
      </c>
      <c r="G58" s="892" t="s">
        <v>1898</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1899</v>
      </c>
      <c r="B59" s="218" t="e">
        <f t="shared" si="17"/>
        <v>#DIV/0!</v>
      </c>
      <c r="C59" s="171">
        <f t="shared" si="16"/>
        <v>0</v>
      </c>
      <c r="D59" s="945">
        <v>0.25</v>
      </c>
      <c r="E59" s="217">
        <f>'数据-汇总表'!E14</f>
        <v>0</v>
      </c>
      <c r="F59" s="639" t="e">
        <f t="shared" si="15"/>
        <v>#DIV/0!</v>
      </c>
      <c r="G59" s="1987" t="s">
        <v>1890</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1900</v>
      </c>
      <c r="B60" s="218" t="e">
        <f t="shared" si="17"/>
        <v>#DIV/0!</v>
      </c>
      <c r="C60" s="171">
        <f t="shared" si="16"/>
        <v>0.2</v>
      </c>
      <c r="D60" s="945">
        <v>0.25</v>
      </c>
      <c r="E60" s="217">
        <f>'数据-汇总表'!E15</f>
        <v>0</v>
      </c>
      <c r="F60" s="639" t="e">
        <f t="shared" si="15"/>
        <v>#DIV/0!</v>
      </c>
      <c r="G60" s="1988" t="s">
        <v>1894</v>
      </c>
      <c r="H60" s="897" t="str">
        <f>项目基本情况!C37</f>
        <v>二级</v>
      </c>
      <c r="I60" s="773">
        <f>SUMIF(修正!A57:A68,H60,修正!G57:G68)</f>
        <v>0.2</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1901</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725"/>
      <c r="Q63" s="2725"/>
      <c r="R63" s="2725"/>
      <c r="S63" s="2725"/>
      <c r="T63" s="2725"/>
      <c r="U63" s="2725"/>
      <c r="V63" s="2725"/>
      <c r="W63" s="2725"/>
      <c r="X63" s="2725"/>
      <c r="Y63" s="2725"/>
      <c r="Z63" s="2725"/>
      <c r="AA63" s="2725"/>
      <c r="AB63" s="2725"/>
      <c r="AC63" s="2725"/>
      <c r="AD63" s="2725"/>
      <c r="AE63" s="2725"/>
    </row>
    <row r="64" spans="1:31" ht="21.75" thickBot="1">
      <c r="A64" s="694" t="s">
        <v>1796</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1902</v>
      </c>
      <c r="B65" s="1109"/>
      <c r="C65" s="1182" t="str">
        <f>YEAR(C63)&amp;"-"&amp;ROUNDUP(MONTH(C63)/3,0)</f>
        <v>2024-2</v>
      </c>
      <c r="D65" s="1182" t="str">
        <f t="shared" ref="D65:O65" si="19">YEAR(D63)&amp;"-"&amp;ROUNDUP(MONTH(D63)/3,0)</f>
        <v>2024-1</v>
      </c>
      <c r="E65" s="1182" t="str">
        <f t="shared" si="19"/>
        <v>2023-4</v>
      </c>
      <c r="F65" s="1182" t="str">
        <f t="shared" si="19"/>
        <v>2023-3</v>
      </c>
      <c r="G65" s="1182" t="str">
        <f t="shared" si="19"/>
        <v>2023-2</v>
      </c>
      <c r="H65" s="1182" t="str">
        <f t="shared" si="19"/>
        <v>2023-1</v>
      </c>
      <c r="I65" s="1182" t="str">
        <f t="shared" si="19"/>
        <v>2022-4</v>
      </c>
      <c r="J65" s="1182" t="str">
        <f t="shared" si="19"/>
        <v>2022-3</v>
      </c>
      <c r="K65" s="1182" t="str">
        <f t="shared" si="19"/>
        <v>2022-2</v>
      </c>
      <c r="L65" s="1182" t="str">
        <f t="shared" si="19"/>
        <v>2022-1</v>
      </c>
      <c r="M65" s="1182" t="str">
        <f t="shared" si="19"/>
        <v>2021-4</v>
      </c>
      <c r="N65" s="1182" t="str">
        <f t="shared" si="19"/>
        <v>2021-3</v>
      </c>
      <c r="O65" s="1182" t="str">
        <f t="shared" si="19"/>
        <v>2021-2</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1922</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1714</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1679</v>
      </c>
      <c r="B68" s="459"/>
      <c r="C68" s="471" t="s">
        <v>1774</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1717</v>
      </c>
      <c r="B70" s="477" t="s">
        <v>1683</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1686</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1687</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1688</v>
      </c>
      <c r="B83" s="477" t="s">
        <v>1827</v>
      </c>
      <c r="C83" s="522" t="s">
        <v>1719</v>
      </c>
      <c r="D83" s="522" t="s">
        <v>1720</v>
      </c>
      <c r="E83" s="522" t="s">
        <v>1721</v>
      </c>
      <c r="F83" s="522" t="s">
        <v>1722</v>
      </c>
      <c r="G83" s="522" t="s">
        <v>1723</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1724</v>
      </c>
      <c r="C85" s="527" t="s">
        <v>1719</v>
      </c>
      <c r="D85" s="527" t="s">
        <v>1720</v>
      </c>
      <c r="E85" s="527" t="s">
        <v>1721</v>
      </c>
      <c r="F85" s="527" t="s">
        <v>1722</v>
      </c>
      <c r="G85" s="527" t="s">
        <v>1723</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1905</v>
      </c>
      <c r="C87" s="522" t="s">
        <v>1719</v>
      </c>
      <c r="D87" s="522" t="s">
        <v>1720</v>
      </c>
      <c r="E87" s="522" t="s">
        <v>1721</v>
      </c>
      <c r="F87" s="522" t="s">
        <v>1722</v>
      </c>
      <c r="G87" s="522" t="s">
        <v>1723</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1906</v>
      </c>
      <c r="C89" s="522" t="s">
        <v>1719</v>
      </c>
      <c r="D89" s="522" t="s">
        <v>1720</v>
      </c>
      <c r="E89" s="522" t="s">
        <v>1721</v>
      </c>
      <c r="F89" s="522" t="s">
        <v>1722</v>
      </c>
      <c r="G89" s="522" t="s">
        <v>1723</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1776</v>
      </c>
      <c r="C91" s="522" t="s">
        <v>1719</v>
      </c>
      <c r="D91" s="522" t="s">
        <v>1720</v>
      </c>
      <c r="E91" s="522" t="s">
        <v>1721</v>
      </c>
      <c r="F91" s="522" t="s">
        <v>1722</v>
      </c>
      <c r="G91" s="522" t="s">
        <v>1723</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1923</v>
      </c>
      <c r="C93" s="608" t="s">
        <v>1797</v>
      </c>
      <c r="D93" s="608" t="s">
        <v>1798</v>
      </c>
      <c r="E93" s="608" t="s">
        <v>1799</v>
      </c>
      <c r="F93" s="608" t="s">
        <v>1800</v>
      </c>
      <c r="G93" s="608" t="s">
        <v>1801</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1907</v>
      </c>
      <c r="D95" s="488" t="s">
        <v>1908</v>
      </c>
      <c r="E95" s="488" t="s">
        <v>1909</v>
      </c>
      <c r="F95" s="488" t="s">
        <v>1910</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1813</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1871</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1692</v>
      </c>
      <c r="B107" s="477" t="s">
        <v>1911</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1912</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1914</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1915</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38" priority="18" stopIfTrue="1" operator="containsText" text="超过">
      <formula>NOT(ISERROR(SEARCH("超过",F46)))</formula>
    </cfRule>
  </conditionalFormatting>
  <conditionalFormatting sqref="J48">
    <cfRule type="containsText" dxfId="37" priority="17" stopIfTrue="1" operator="containsText" text="超过">
      <formula>NOT(ISERROR(SEARCH("超过",J48)))</formula>
    </cfRule>
  </conditionalFormatting>
  <conditionalFormatting sqref="H48">
    <cfRule type="containsText" dxfId="36" priority="16" stopIfTrue="1" operator="containsText" text="超过">
      <formula>NOT(ISERROR(SEARCH("超过",H48)))</formula>
    </cfRule>
  </conditionalFormatting>
  <conditionalFormatting sqref="F48">
    <cfRule type="containsText" dxfId="35" priority="15" stopIfTrue="1" operator="containsText" text="超过">
      <formula>NOT(ISERROR(SEARCH("超过",F48)))</formula>
    </cfRule>
  </conditionalFormatting>
  <conditionalFormatting sqref="F47 H47 J47">
    <cfRule type="containsText" dxfId="34" priority="14" stopIfTrue="1" operator="containsText" text="超过">
      <formula>NOT(ISERROR(SEARCH("超过",F47)))</formula>
    </cfRule>
  </conditionalFormatting>
  <conditionalFormatting sqref="E46">
    <cfRule type="expression" dxfId="33" priority="13" stopIfTrue="1">
      <formula>$F$46="超过30%"</formula>
    </cfRule>
  </conditionalFormatting>
  <conditionalFormatting sqref="G48">
    <cfRule type="expression" dxfId="32" priority="12" stopIfTrue="1">
      <formula>$H$48="超过30%"</formula>
    </cfRule>
  </conditionalFormatting>
  <conditionalFormatting sqref="E48">
    <cfRule type="expression" dxfId="31" priority="10" stopIfTrue="1">
      <formula>$F$48="超过30%"</formula>
    </cfRule>
  </conditionalFormatting>
  <conditionalFormatting sqref="G46">
    <cfRule type="expression" dxfId="30" priority="9" stopIfTrue="1">
      <formula>$H$46="超过30%"</formula>
    </cfRule>
  </conditionalFormatting>
  <conditionalFormatting sqref="G47">
    <cfRule type="expression" dxfId="29" priority="8" stopIfTrue="1">
      <formula>$H$47="超过20%"</formula>
    </cfRule>
  </conditionalFormatting>
  <conditionalFormatting sqref="I46">
    <cfRule type="expression" dxfId="28" priority="7" stopIfTrue="1">
      <formula>$J$46="超过30%"</formula>
    </cfRule>
  </conditionalFormatting>
  <conditionalFormatting sqref="I47">
    <cfRule type="expression" dxfId="27" priority="6" stopIfTrue="1">
      <formula>$J$47="超过20%"</formula>
    </cfRule>
  </conditionalFormatting>
  <conditionalFormatting sqref="I48">
    <cfRule type="expression" dxfId="26" priority="5" stopIfTrue="1">
      <formula>$J$48="超过30%"</formula>
    </cfRule>
  </conditionalFormatting>
  <conditionalFormatting sqref="E47">
    <cfRule type="expression" dxfId="25" priority="53" stopIfTrue="1">
      <formula>#REF!+$F$47="超过20%"</formula>
    </cfRule>
  </conditionalFormatting>
  <conditionalFormatting sqref="F42">
    <cfRule type="expression" dxfId="24" priority="4">
      <formula>$D$42="简单平均"</formula>
    </cfRule>
  </conditionalFormatting>
  <conditionalFormatting sqref="H42">
    <cfRule type="expression" dxfId="23" priority="3">
      <formula>$D$42="简单平均"</formula>
    </cfRule>
  </conditionalFormatting>
  <conditionalFormatting sqref="J42">
    <cfRule type="expression" dxfId="22" priority="2">
      <formula>$D$42="简单平均"</formula>
    </cfRule>
  </conditionalFormatting>
  <conditionalFormatting sqref="F7:F40 H7:H40 J7:J40">
    <cfRule type="cellIs" dxfId="2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2079</v>
      </c>
      <c r="B1" s="2147"/>
      <c r="C1" s="2147"/>
      <c r="D1" s="2147"/>
      <c r="E1" s="2147"/>
      <c r="F1" s="2793"/>
      <c r="G1" s="2793"/>
      <c r="H1" s="2793"/>
      <c r="I1" s="2793"/>
      <c r="J1" s="2793"/>
      <c r="K1" s="2793"/>
      <c r="L1" s="2793"/>
      <c r="M1" s="2793"/>
      <c r="N1" s="2793"/>
      <c r="O1" s="2793"/>
      <c r="P1" s="2793"/>
    </row>
    <row r="2" spans="1:16" ht="15.75">
      <c r="A2" s="2145" t="s">
        <v>2071</v>
      </c>
      <c r="B2" s="2602">
        <f ca="1">SUMIF(B6:B13,"&lt;&gt;#ref!",B6:B13)</f>
        <v>3826</v>
      </c>
      <c r="C2" s="2145" t="s">
        <v>2072</v>
      </c>
      <c r="D2" s="2145" t="s">
        <v>2073</v>
      </c>
      <c r="E2" s="2612">
        <f ca="1">SUMIF(E6:E13,"&lt;&gt;#ref!",E6:E13)</f>
        <v>1168.2</v>
      </c>
      <c r="F2" s="2793"/>
      <c r="G2" s="2793"/>
      <c r="H2" s="2793"/>
      <c r="I2" s="2793"/>
      <c r="J2" s="2793"/>
      <c r="K2" s="2793"/>
      <c r="L2" s="2793"/>
      <c r="M2" s="2793"/>
      <c r="N2" s="2793"/>
      <c r="O2" s="2793"/>
      <c r="P2" s="2793"/>
    </row>
    <row r="3" spans="1:16" ht="15.75">
      <c r="A3" s="2145" t="s">
        <v>2074</v>
      </c>
      <c r="B3" s="2602">
        <f ca="1">ROUND(B2*10000/E2,0)</f>
        <v>32751</v>
      </c>
      <c r="C3" s="2145" t="s">
        <v>2080</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2075</v>
      </c>
      <c r="B5" s="2610" t="s">
        <v>2076</v>
      </c>
      <c r="C5" s="2146"/>
      <c r="D5" s="2793"/>
      <c r="E5" s="2611" t="s">
        <v>2077</v>
      </c>
      <c r="F5" s="2793"/>
      <c r="G5" s="2793"/>
      <c r="H5" s="2793"/>
      <c r="I5" s="2793"/>
      <c r="J5" s="2793"/>
      <c r="K5" s="2793"/>
      <c r="L5" s="2793"/>
      <c r="M5" s="2793"/>
      <c r="N5" s="2793"/>
      <c r="O5" s="2793"/>
      <c r="P5" s="2793"/>
    </row>
    <row r="6" spans="1:16" ht="15.75">
      <c r="A6" s="2609" t="s">
        <v>2078</v>
      </c>
      <c r="B6" s="2602">
        <f ca="1">SUMIF(INDIRECT("'"&amp;A6&amp;"'"&amp;"!A:A"),"总价",INDIRECT("'"&amp;A6&amp;"'"&amp;"!B:B"))</f>
        <v>3826</v>
      </c>
      <c r="C6" s="2145" t="s">
        <v>2072</v>
      </c>
      <c r="D6" s="2793"/>
      <c r="E6" s="2612">
        <f ca="1">SUMIF(INDIRECT("'"&amp;A6&amp;"'"&amp;"!C:C"),"建筑面积",INDIRECT("'"&amp;A6&amp;"'"&amp;"!D:D"))</f>
        <v>1168.2</v>
      </c>
      <c r="F6" s="2793"/>
      <c r="G6" s="2793"/>
      <c r="H6" s="2793"/>
      <c r="I6" s="2793"/>
      <c r="J6" s="2793"/>
      <c r="K6" s="2793"/>
      <c r="L6" s="2793"/>
      <c r="M6" s="2793"/>
      <c r="N6" s="2793"/>
      <c r="O6" s="2793"/>
      <c r="P6" s="2793"/>
    </row>
    <row r="7" spans="1:16" ht="15.75">
      <c r="A7" s="2609"/>
      <c r="B7" s="2602" t="e">
        <f ca="1">SUMIF(INDIRECT("'"&amp;A7&amp;"'"&amp;"!A:A"),"总价",INDIRECT("'"&amp;A7&amp;"'"&amp;"!B:B"))</f>
        <v>#REF!</v>
      </c>
      <c r="C7" s="2145" t="s">
        <v>2072</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2072</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2072</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2072</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2072</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2072</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2072</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8" zoomScale="85" zoomScaleNormal="70" zoomScaleSheetLayoutView="85" workbookViewId="0">
      <selection activeCell="F24" sqref="F24"/>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1658</v>
      </c>
      <c r="B1" s="1878" t="s">
        <v>1764</v>
      </c>
      <c r="C1" s="1238" t="s">
        <v>1660</v>
      </c>
      <c r="D1" s="1225" t="s">
        <v>671</v>
      </c>
      <c r="E1" s="3426" t="s">
        <v>3547</v>
      </c>
      <c r="F1" s="1879" t="s">
        <v>3548</v>
      </c>
      <c r="G1" s="1235" t="s">
        <v>1765</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1460</v>
      </c>
      <c r="B2" s="1164">
        <f>IF(E1="项目模式",IF(C2="——",ROUND(C49*D3/10000,0),ROUND(C49*D3/10000,0)-D2),IF(E1="单套模式",IF(C2="——",ROUND(C49*D3/10000,4),ROUND(C49*D3/10000,4)-D2)))</f>
        <v>0</v>
      </c>
      <c r="C2" s="1881" t="s">
        <v>43</v>
      </c>
      <c r="D2" s="1115" t="e">
        <f ca="1">IF(E1="项目模式",SUMIF(INDIRECT("'"&amp;F2&amp;"'"&amp;"!A:A"),"承租人权益价值",INDIRECT("'"&amp;F2&amp;"'"&amp;"!c:c")),SUMIF(INDIRECT("'"&amp;F2&amp;"'"&amp;"!A:A"),"承租人权益价值（单套）",INDIRECT("'"&amp;F2&amp;"'"&amp;"!c:c")))</f>
        <v>#REF!</v>
      </c>
      <c r="E2" s="1882" t="s">
        <v>1461</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1462</v>
      </c>
      <c r="B3" s="558">
        <f>IF(C2="——",C49,ROUND(B2*10000/D3,0))</f>
        <v>65000</v>
      </c>
      <c r="C3" s="354" t="s">
        <v>1766</v>
      </c>
      <c r="D3" s="353">
        <f>IF(D1="",'数据-汇总表'!E3,SUMIF('数据-汇总表'!$C19:$C33,D1,'数据-汇总表'!$E19:$E33))</f>
        <v>0</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1767</v>
      </c>
      <c r="B4" s="356"/>
      <c r="C4" s="3916" t="s">
        <v>1768</v>
      </c>
      <c r="D4" s="3917"/>
      <c r="E4" s="3918" t="s">
        <v>1769</v>
      </c>
      <c r="F4" s="3919"/>
      <c r="G4" s="3916" t="s">
        <v>1770</v>
      </c>
      <c r="H4" s="3917"/>
      <c r="I4" s="3916" t="s">
        <v>1771</v>
      </c>
      <c r="J4" s="3917"/>
      <c r="K4" s="559" t="s">
        <v>1772</v>
      </c>
      <c r="L4" s="2715"/>
      <c r="M4" s="2716"/>
      <c r="N4" s="2716"/>
      <c r="O4" s="2716"/>
      <c r="P4" s="3920" t="s">
        <v>1773</v>
      </c>
      <c r="Q4" s="3921"/>
      <c r="R4" s="3926" t="s">
        <v>1769</v>
      </c>
      <c r="S4" s="3927"/>
      <c r="T4" s="3926" t="s">
        <v>1770</v>
      </c>
      <c r="U4" s="3927"/>
      <c r="V4" s="3932" t="s">
        <v>1771</v>
      </c>
      <c r="W4" s="3932"/>
      <c r="X4" s="1355"/>
      <c r="Y4" s="3926" t="s">
        <v>1773</v>
      </c>
      <c r="Z4" s="3927"/>
      <c r="AA4" s="3913" t="s">
        <v>1769</v>
      </c>
      <c r="AB4" s="3932" t="s">
        <v>1770</v>
      </c>
      <c r="AC4" s="3913" t="s">
        <v>1771</v>
      </c>
    </row>
    <row r="5" spans="1:29" ht="15">
      <c r="A5" s="358"/>
      <c r="B5" s="359"/>
      <c r="C5" s="3935" t="s">
        <v>1671</v>
      </c>
      <c r="D5" s="3936"/>
      <c r="E5" s="3942" t="s">
        <v>1672</v>
      </c>
      <c r="F5" s="3943"/>
      <c r="G5" s="3935" t="s">
        <v>1673</v>
      </c>
      <c r="H5" s="3936"/>
      <c r="I5" s="3935" t="s">
        <v>1674</v>
      </c>
      <c r="J5" s="3936"/>
      <c r="K5" s="559"/>
      <c r="L5" s="2715"/>
      <c r="M5" s="2716"/>
      <c r="N5" s="2716"/>
      <c r="O5" s="2716"/>
      <c r="P5" s="3922"/>
      <c r="Q5" s="3923"/>
      <c r="R5" s="3928"/>
      <c r="S5" s="3929"/>
      <c r="T5" s="3928"/>
      <c r="U5" s="3929"/>
      <c r="V5" s="3932"/>
      <c r="W5" s="3932"/>
      <c r="X5" s="1355"/>
      <c r="Y5" s="3928"/>
      <c r="Z5" s="3929"/>
      <c r="AA5" s="3914"/>
      <c r="AB5" s="3932"/>
      <c r="AC5" s="3914"/>
    </row>
    <row r="6" spans="1:29" ht="15.75" thickBot="1">
      <c r="A6" s="360"/>
      <c r="B6" s="361"/>
      <c r="C6" s="3933" t="s">
        <v>1675</v>
      </c>
      <c r="D6" s="3934"/>
      <c r="E6" s="3940" t="s">
        <v>1675</v>
      </c>
      <c r="F6" s="3941"/>
      <c r="G6" s="3933" t="s">
        <v>1675</v>
      </c>
      <c r="H6" s="3934"/>
      <c r="I6" s="3933" t="s">
        <v>1675</v>
      </c>
      <c r="J6" s="3934"/>
      <c r="K6" s="559" t="s">
        <v>1676</v>
      </c>
      <c r="L6" s="2715"/>
      <c r="M6" s="2716"/>
      <c r="N6" s="2716"/>
      <c r="O6" s="2716"/>
      <c r="P6" s="3924"/>
      <c r="Q6" s="3925"/>
      <c r="R6" s="3928"/>
      <c r="S6" s="3929"/>
      <c r="T6" s="3930"/>
      <c r="U6" s="3931"/>
      <c r="V6" s="3932"/>
      <c r="W6" s="3932"/>
      <c r="X6" s="1355"/>
      <c r="Y6" s="3930"/>
      <c r="Z6" s="3931"/>
      <c r="AA6" s="3915"/>
      <c r="AB6" s="3932"/>
      <c r="AC6" s="3915"/>
    </row>
    <row r="7" spans="1:29" s="108" customFormat="1" ht="15.75" thickBot="1">
      <c r="A7" s="362" t="s">
        <v>1677</v>
      </c>
      <c r="B7" s="363"/>
      <c r="C7" s="364">
        <f>'数据-取费表'!B2</f>
        <v>45400</v>
      </c>
      <c r="D7" s="365">
        <v>100</v>
      </c>
      <c r="E7" s="366">
        <f>C7</f>
        <v>45400</v>
      </c>
      <c r="F7" s="367">
        <f>SUMIF(58:58,YEAR(E7)&amp;"-"&amp;MONTH(E7),59:59)</f>
        <v>100</v>
      </c>
      <c r="G7" s="366">
        <f>C7</f>
        <v>45400</v>
      </c>
      <c r="H7" s="365">
        <f>SUMIF(58:58,YEAR(G7)&amp;"-"&amp;MONTH(G7),59:59)</f>
        <v>100</v>
      </c>
      <c r="I7" s="366">
        <f>C7</f>
        <v>45400</v>
      </c>
      <c r="J7" s="365">
        <f>SUMIF(58:58,YEAR(I7)&amp;"-"&amp;MONTH(I7),59:59)</f>
        <v>100</v>
      </c>
      <c r="K7" s="560"/>
      <c r="L7" s="2717"/>
      <c r="M7" s="2718"/>
      <c r="N7" s="2718"/>
      <c r="O7" s="2718"/>
      <c r="P7" s="3937" t="s">
        <v>1678</v>
      </c>
      <c r="Q7" s="3939"/>
      <c r="R7" s="701" t="s">
        <v>14</v>
      </c>
      <c r="S7" s="702">
        <f t="shared" ref="S7:S15" si="0">F7</f>
        <v>100</v>
      </c>
      <c r="T7" s="701" t="s">
        <v>14</v>
      </c>
      <c r="U7" s="702">
        <f t="shared" ref="U7:U15" si="1">H7</f>
        <v>100</v>
      </c>
      <c r="V7" s="701" t="s">
        <v>14</v>
      </c>
      <c r="W7" s="702">
        <f t="shared" ref="W7:W15" si="2">J7</f>
        <v>100</v>
      </c>
      <c r="X7" s="703"/>
      <c r="Y7" s="3937" t="s">
        <v>1678</v>
      </c>
      <c r="Z7" s="3938"/>
      <c r="AA7" s="704">
        <f>D7/F7</f>
        <v>1</v>
      </c>
      <c r="AB7" s="704">
        <f>D7/H7</f>
        <v>1</v>
      </c>
      <c r="AC7" s="704">
        <f>D7/J7</f>
        <v>1</v>
      </c>
    </row>
    <row r="8" spans="1:29" s="108" customFormat="1" ht="15.75" thickBot="1">
      <c r="A8" s="362" t="s">
        <v>1679</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937" t="s">
        <v>1681</v>
      </c>
      <c r="Q8" s="3938"/>
      <c r="R8" s="701" t="s">
        <v>14</v>
      </c>
      <c r="S8" s="702">
        <f t="shared" si="0"/>
        <v>100</v>
      </c>
      <c r="T8" s="701" t="s">
        <v>14</v>
      </c>
      <c r="U8" s="702">
        <f t="shared" si="1"/>
        <v>100</v>
      </c>
      <c r="V8" s="701" t="s">
        <v>14</v>
      </c>
      <c r="W8" s="702">
        <f t="shared" si="2"/>
        <v>100</v>
      </c>
      <c r="X8" s="703"/>
      <c r="Y8" s="3937" t="s">
        <v>1681</v>
      </c>
      <c r="Z8" s="3938"/>
      <c r="AA8" s="704">
        <f t="shared" ref="AA8:AA46" si="3">D8/F8</f>
        <v>1</v>
      </c>
      <c r="AB8" s="704">
        <f t="shared" ref="AB8:AB46" si="4">D8/H8</f>
        <v>1</v>
      </c>
      <c r="AC8" s="704">
        <f t="shared" ref="AC8:AC46" si="5">D8/J8</f>
        <v>1</v>
      </c>
    </row>
    <row r="9" spans="1:29" s="108" customFormat="1">
      <c r="A9" s="369" t="s">
        <v>1682</v>
      </c>
      <c r="B9" s="63" t="s">
        <v>1683</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912" t="s">
        <v>1684</v>
      </c>
      <c r="Q9" s="1343" t="str">
        <f t="shared" ref="Q9:Q15" si="6">B9</f>
        <v>用途</v>
      </c>
      <c r="R9" s="701" t="s">
        <v>14</v>
      </c>
      <c r="S9" s="702">
        <f t="shared" si="0"/>
        <v>100</v>
      </c>
      <c r="T9" s="701" t="s">
        <v>14</v>
      </c>
      <c r="U9" s="702">
        <f t="shared" si="1"/>
        <v>100</v>
      </c>
      <c r="V9" s="701" t="s">
        <v>14</v>
      </c>
      <c r="W9" s="702">
        <f t="shared" si="2"/>
        <v>100</v>
      </c>
      <c r="X9" s="703"/>
      <c r="Y9" s="3757" t="s">
        <v>1685</v>
      </c>
      <c r="Z9" s="52" t="str">
        <f t="shared" ref="Z9:Z15" si="7">Q9</f>
        <v>用途</v>
      </c>
      <c r="AA9" s="704">
        <f t="shared" si="3"/>
        <v>1</v>
      </c>
      <c r="AB9" s="704">
        <f t="shared" si="4"/>
        <v>1</v>
      </c>
      <c r="AC9" s="704">
        <f t="shared" si="5"/>
        <v>1</v>
      </c>
    </row>
    <row r="10" spans="1:29" s="378" customFormat="1" ht="27">
      <c r="A10" s="374"/>
      <c r="B10" s="375" t="s">
        <v>1686</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912"/>
      <c r="Q10" s="1343" t="str">
        <f t="shared" si="6"/>
        <v>土地使用年限（年）</v>
      </c>
      <c r="R10" s="701" t="s">
        <v>14</v>
      </c>
      <c r="S10" s="702">
        <f t="shared" si="0"/>
        <v>100</v>
      </c>
      <c r="T10" s="701" t="s">
        <v>14</v>
      </c>
      <c r="U10" s="702">
        <f t="shared" si="1"/>
        <v>100</v>
      </c>
      <c r="V10" s="701" t="s">
        <v>14</v>
      </c>
      <c r="W10" s="702">
        <f t="shared" si="2"/>
        <v>100</v>
      </c>
      <c r="X10" s="703"/>
      <c r="Y10" s="3757"/>
      <c r="Z10" s="52" t="str">
        <f t="shared" si="7"/>
        <v>土地使用年限（年）</v>
      </c>
      <c r="AA10" s="704">
        <f t="shared" si="3"/>
        <v>1</v>
      </c>
      <c r="AB10" s="704">
        <f t="shared" si="4"/>
        <v>1</v>
      </c>
      <c r="AC10" s="704">
        <f t="shared" si="5"/>
        <v>1</v>
      </c>
    </row>
    <row r="11" spans="1:29" ht="15">
      <c r="A11" s="379"/>
      <c r="B11" s="375" t="s">
        <v>1687</v>
      </c>
      <c r="C11" s="380"/>
      <c r="D11" s="127">
        <v>100</v>
      </c>
      <c r="E11" s="381"/>
      <c r="F11" s="376">
        <f>LOOKUP(E11,68:68,69:69)-LOOKUP(C11,68:68,69:69)+100</f>
        <v>100</v>
      </c>
      <c r="G11" s="380"/>
      <c r="H11" s="127">
        <f>LOOKUP(G11,68:68,69:69)-LOOKUP(C11,68:68,69:69)+100</f>
        <v>100</v>
      </c>
      <c r="I11" s="380"/>
      <c r="J11" s="127">
        <f>LOOKUP(I11,68:68,69:69)-LOOKUP(C11,68:68,69:69)+100</f>
        <v>100</v>
      </c>
      <c r="K11" s="561"/>
      <c r="L11" s="2721"/>
      <c r="M11" s="2716"/>
      <c r="N11" s="2716"/>
      <c r="O11" s="2716"/>
      <c r="P11" s="3912"/>
      <c r="Q11" s="1343" t="str">
        <f t="shared" si="6"/>
        <v>容积率</v>
      </c>
      <c r="R11" s="701" t="s">
        <v>14</v>
      </c>
      <c r="S11" s="702">
        <f t="shared" si="0"/>
        <v>100</v>
      </c>
      <c r="T11" s="701" t="s">
        <v>14</v>
      </c>
      <c r="U11" s="702">
        <f t="shared" si="1"/>
        <v>100</v>
      </c>
      <c r="V11" s="701" t="s">
        <v>14</v>
      </c>
      <c r="W11" s="702">
        <f t="shared" si="2"/>
        <v>100</v>
      </c>
      <c r="X11" s="703"/>
      <c r="Y11" s="3757"/>
      <c r="Z11" s="52" t="str">
        <f t="shared" si="7"/>
        <v>容积率</v>
      </c>
      <c r="AA11" s="704">
        <f t="shared" si="3"/>
        <v>1</v>
      </c>
      <c r="AB11" s="704">
        <f t="shared" si="4"/>
        <v>1</v>
      </c>
      <c r="AC11" s="704">
        <f t="shared" si="5"/>
        <v>1</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912"/>
      <c r="Q12" s="1343">
        <f t="shared" si="6"/>
        <v>111</v>
      </c>
      <c r="R12" s="701" t="s">
        <v>14</v>
      </c>
      <c r="S12" s="702">
        <f t="shared" si="0"/>
        <v>100</v>
      </c>
      <c r="T12" s="701" t="s">
        <v>14</v>
      </c>
      <c r="U12" s="702">
        <f t="shared" si="1"/>
        <v>100</v>
      </c>
      <c r="V12" s="701" t="s">
        <v>14</v>
      </c>
      <c r="W12" s="702">
        <f t="shared" si="2"/>
        <v>100</v>
      </c>
      <c r="X12" s="703"/>
      <c r="Y12" s="375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912"/>
      <c r="Q13" s="1343">
        <f t="shared" si="6"/>
        <v>111</v>
      </c>
      <c r="R13" s="701" t="s">
        <v>14</v>
      </c>
      <c r="S13" s="702">
        <f t="shared" si="0"/>
        <v>100</v>
      </c>
      <c r="T13" s="701" t="s">
        <v>14</v>
      </c>
      <c r="U13" s="702">
        <f t="shared" si="1"/>
        <v>100</v>
      </c>
      <c r="V13" s="701" t="s">
        <v>14</v>
      </c>
      <c r="W13" s="702">
        <f t="shared" si="2"/>
        <v>100</v>
      </c>
      <c r="X13" s="703"/>
      <c r="Y13" s="3757"/>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912"/>
      <c r="Q14" s="1343">
        <f t="shared" si="6"/>
        <v>111</v>
      </c>
      <c r="R14" s="701" t="s">
        <v>14</v>
      </c>
      <c r="S14" s="702">
        <f t="shared" si="0"/>
        <v>100</v>
      </c>
      <c r="T14" s="701" t="s">
        <v>14</v>
      </c>
      <c r="U14" s="702">
        <f t="shared" si="1"/>
        <v>100</v>
      </c>
      <c r="V14" s="701" t="s">
        <v>14</v>
      </c>
      <c r="W14" s="702">
        <f t="shared" si="2"/>
        <v>100</v>
      </c>
      <c r="X14" s="703"/>
      <c r="Y14" s="3757"/>
      <c r="Z14" s="52">
        <f t="shared" si="7"/>
        <v>111</v>
      </c>
      <c r="AA14" s="704">
        <f t="shared" si="3"/>
        <v>1</v>
      </c>
      <c r="AB14" s="704">
        <f t="shared" si="4"/>
        <v>1</v>
      </c>
      <c r="AC14" s="704">
        <f t="shared" si="5"/>
        <v>1</v>
      </c>
    </row>
    <row r="15" spans="1:29" ht="71.25">
      <c r="A15" s="391" t="s">
        <v>1688</v>
      </c>
      <c r="B15" s="61" t="s">
        <v>1775</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910" t="s">
        <v>1689</v>
      </c>
      <c r="Q15" s="1352" t="str">
        <f t="shared" si="6"/>
        <v>商业繁华度</v>
      </c>
      <c r="R15" s="705" t="s">
        <v>14</v>
      </c>
      <c r="S15" s="706">
        <f t="shared" si="0"/>
        <v>100</v>
      </c>
      <c r="T15" s="705" t="s">
        <v>14</v>
      </c>
      <c r="U15" s="706">
        <f t="shared" si="1"/>
        <v>100</v>
      </c>
      <c r="V15" s="705" t="s">
        <v>14</v>
      </c>
      <c r="W15" s="706">
        <f t="shared" si="2"/>
        <v>100</v>
      </c>
      <c r="X15" s="1355"/>
      <c r="Y15" s="3903" t="s">
        <v>1689</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911"/>
      <c r="Q16" s="1352"/>
      <c r="R16" s="705"/>
      <c r="S16" s="706"/>
      <c r="T16" s="705"/>
      <c r="U16" s="706"/>
      <c r="V16" s="705"/>
      <c r="W16" s="706"/>
      <c r="X16" s="1355"/>
      <c r="Y16" s="3904"/>
      <c r="Z16" s="1356"/>
      <c r="AA16" s="1353">
        <v>1</v>
      </c>
      <c r="AB16" s="1353">
        <v>1</v>
      </c>
      <c r="AC16" s="1353">
        <v>1</v>
      </c>
    </row>
    <row r="17" spans="1:29" ht="85.5">
      <c r="A17" s="379"/>
      <c r="B17" s="402" t="s">
        <v>1257</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911"/>
      <c r="Q17" s="1352" t="str">
        <f>B17</f>
        <v>交通便捷度</v>
      </c>
      <c r="R17" s="705" t="s">
        <v>14</v>
      </c>
      <c r="S17" s="706">
        <f>F17</f>
        <v>100</v>
      </c>
      <c r="T17" s="705" t="s">
        <v>14</v>
      </c>
      <c r="U17" s="706">
        <f>H17</f>
        <v>100</v>
      </c>
      <c r="V17" s="705" t="s">
        <v>14</v>
      </c>
      <c r="W17" s="706">
        <f>J17</f>
        <v>100</v>
      </c>
      <c r="X17" s="1355"/>
      <c r="Y17" s="390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911"/>
      <c r="Q18" s="1352"/>
      <c r="R18" s="705"/>
      <c r="S18" s="706"/>
      <c r="T18" s="705"/>
      <c r="U18" s="706"/>
      <c r="V18" s="705"/>
      <c r="W18" s="706"/>
      <c r="X18" s="1355"/>
      <c r="Y18" s="3904"/>
      <c r="Z18" s="1356"/>
      <c r="AA18" s="1353">
        <v>1</v>
      </c>
      <c r="AB18" s="1353">
        <v>1</v>
      </c>
      <c r="AC18" s="1353">
        <v>1</v>
      </c>
    </row>
    <row r="19" spans="1:29" ht="42.75">
      <c r="A19" s="379"/>
      <c r="B19" s="402" t="s">
        <v>1776</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911"/>
      <c r="Q19" s="1352" t="str">
        <f>B19</f>
        <v>公共配套设施</v>
      </c>
      <c r="R19" s="705" t="s">
        <v>14</v>
      </c>
      <c r="S19" s="706">
        <f>F19</f>
        <v>100</v>
      </c>
      <c r="T19" s="705" t="s">
        <v>14</v>
      </c>
      <c r="U19" s="706">
        <f>H19</f>
        <v>100</v>
      </c>
      <c r="V19" s="705" t="s">
        <v>14</v>
      </c>
      <c r="W19" s="706">
        <f>J19</f>
        <v>100</v>
      </c>
      <c r="X19" s="1355"/>
      <c r="Y19" s="390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911"/>
      <c r="Q20" s="1352"/>
      <c r="R20" s="705"/>
      <c r="S20" s="706"/>
      <c r="T20" s="705"/>
      <c r="U20" s="706"/>
      <c r="V20" s="705"/>
      <c r="W20" s="706"/>
      <c r="X20" s="1355"/>
      <c r="Y20" s="3904"/>
      <c r="Z20" s="1356"/>
      <c r="AA20" s="1353">
        <v>1</v>
      </c>
      <c r="AB20" s="1353">
        <v>1</v>
      </c>
      <c r="AC20" s="1353">
        <v>1</v>
      </c>
    </row>
    <row r="21" spans="1:29" ht="28.5">
      <c r="A21" s="379"/>
      <c r="B21" s="1131" t="s">
        <v>1777</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911"/>
      <c r="Q21" s="1352" t="str">
        <f>B21</f>
        <v>基础设施水平</v>
      </c>
      <c r="R21" s="705" t="s">
        <v>14</v>
      </c>
      <c r="S21" s="706">
        <f>F21</f>
        <v>100</v>
      </c>
      <c r="T21" s="705" t="s">
        <v>14</v>
      </c>
      <c r="U21" s="706">
        <f>H21</f>
        <v>100</v>
      </c>
      <c r="V21" s="705" t="s">
        <v>14</v>
      </c>
      <c r="W21" s="706">
        <f>J21</f>
        <v>100</v>
      </c>
      <c r="X21" s="1355"/>
      <c r="Y21" s="390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911"/>
      <c r="Q22" s="1352"/>
      <c r="R22" s="705"/>
      <c r="S22" s="706"/>
      <c r="T22" s="705"/>
      <c r="U22" s="706"/>
      <c r="V22" s="705"/>
      <c r="W22" s="706"/>
      <c r="X22" s="1355"/>
      <c r="Y22" s="3904"/>
      <c r="Z22" s="1356"/>
      <c r="AA22" s="1353">
        <v>1</v>
      </c>
      <c r="AB22" s="1353">
        <v>1</v>
      </c>
      <c r="AC22" s="1353">
        <v>1</v>
      </c>
    </row>
    <row r="23" spans="1:29" ht="57">
      <c r="A23" s="379"/>
      <c r="B23" s="402" t="s">
        <v>1259</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911"/>
      <c r="Q23" s="1352" t="str">
        <f>B23</f>
        <v>自然及人文环境</v>
      </c>
      <c r="R23" s="705" t="s">
        <v>14</v>
      </c>
      <c r="S23" s="706">
        <f>F23</f>
        <v>100</v>
      </c>
      <c r="T23" s="705" t="s">
        <v>14</v>
      </c>
      <c r="U23" s="706">
        <f>H23</f>
        <v>100</v>
      </c>
      <c r="V23" s="705" t="s">
        <v>14</v>
      </c>
      <c r="W23" s="706">
        <f>J23</f>
        <v>100</v>
      </c>
      <c r="X23" s="1355"/>
      <c r="Y23" s="3904"/>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911"/>
      <c r="Q24" s="1352"/>
      <c r="R24" s="705"/>
      <c r="S24" s="706"/>
      <c r="T24" s="705"/>
      <c r="U24" s="706"/>
      <c r="V24" s="705"/>
      <c r="W24" s="706"/>
      <c r="X24" s="1355"/>
      <c r="Y24" s="3904"/>
      <c r="Z24" s="1356"/>
      <c r="AA24" s="1353">
        <v>1</v>
      </c>
      <c r="AB24" s="1353">
        <v>1</v>
      </c>
      <c r="AC24" s="1353">
        <v>1</v>
      </c>
    </row>
    <row r="25" spans="1:29" ht="15">
      <c r="A25" s="379"/>
      <c r="B25" s="375" t="s">
        <v>1778</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911"/>
      <c r="Q25" s="1352" t="str">
        <f t="shared" ref="Q25:Q46" si="11">B25</f>
        <v>临街状况</v>
      </c>
      <c r="R25" s="705" t="s">
        <v>14</v>
      </c>
      <c r="S25" s="706">
        <f>F25</f>
        <v>100</v>
      </c>
      <c r="T25" s="705" t="s">
        <v>14</v>
      </c>
      <c r="U25" s="706">
        <f>H25</f>
        <v>100</v>
      </c>
      <c r="V25" s="705" t="s">
        <v>14</v>
      </c>
      <c r="W25" s="706">
        <f>J25</f>
        <v>100</v>
      </c>
      <c r="X25" s="1355"/>
      <c r="Y25" s="3904"/>
      <c r="Z25" s="1356" t="str">
        <f>Q25</f>
        <v>临街状况</v>
      </c>
      <c r="AA25" s="1353">
        <f t="shared" si="3"/>
        <v>1</v>
      </c>
      <c r="AB25" s="1353">
        <f t="shared" si="4"/>
        <v>1</v>
      </c>
      <c r="AC25" s="1353">
        <f t="shared" si="5"/>
        <v>1</v>
      </c>
    </row>
    <row r="26" spans="1:29" ht="15">
      <c r="A26" s="379"/>
      <c r="B26" s="1133" t="s">
        <v>1779</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911"/>
      <c r="Q26" s="1352" t="str">
        <f t="shared" si="11"/>
        <v>平面位置/可视性</v>
      </c>
      <c r="R26" s="705" t="s">
        <v>14</v>
      </c>
      <c r="S26" s="706">
        <f>F26</f>
        <v>100</v>
      </c>
      <c r="T26" s="705" t="s">
        <v>14</v>
      </c>
      <c r="U26" s="706">
        <f>H26</f>
        <v>100</v>
      </c>
      <c r="V26" s="705" t="s">
        <v>14</v>
      </c>
      <c r="W26" s="706">
        <f>J26</f>
        <v>100</v>
      </c>
      <c r="X26" s="1355"/>
      <c r="Y26" s="3904"/>
      <c r="Z26" s="1356" t="str">
        <f>Q26</f>
        <v>平面位置/可视性</v>
      </c>
      <c r="AA26" s="1353">
        <f t="shared" si="3"/>
        <v>1</v>
      </c>
      <c r="AB26" s="1353">
        <f t="shared" si="4"/>
        <v>1</v>
      </c>
      <c r="AC26" s="1353">
        <f t="shared" si="5"/>
        <v>1</v>
      </c>
    </row>
    <row r="27" spans="1:29" s="108" customFormat="1" ht="15">
      <c r="A27" s="382"/>
      <c r="B27" s="402" t="s">
        <v>1780</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911"/>
      <c r="Q27" s="1343" t="str">
        <f t="shared" si="11"/>
        <v>人流量</v>
      </c>
      <c r="R27" s="701" t="s">
        <v>14</v>
      </c>
      <c r="S27" s="702">
        <f>F27</f>
        <v>100</v>
      </c>
      <c r="T27" s="701" t="s">
        <v>14</v>
      </c>
      <c r="U27" s="702">
        <f>H27</f>
        <v>100</v>
      </c>
      <c r="V27" s="701" t="s">
        <v>14</v>
      </c>
      <c r="W27" s="702">
        <f>J27</f>
        <v>100</v>
      </c>
      <c r="X27" s="703"/>
      <c r="Y27" s="3904"/>
      <c r="Z27" s="52" t="str">
        <f>Q27</f>
        <v>人流量</v>
      </c>
      <c r="AA27" s="1353">
        <f>D27/F27</f>
        <v>1</v>
      </c>
      <c r="AB27" s="1353">
        <f>D27/H27</f>
        <v>1</v>
      </c>
      <c r="AC27" s="1353">
        <f>D27/J27</f>
        <v>1</v>
      </c>
    </row>
    <row r="28" spans="1:29" ht="15">
      <c r="A28" s="379"/>
      <c r="B28" s="375" t="s">
        <v>1781</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911"/>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904"/>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911"/>
      <c r="Q29" s="1352">
        <f t="shared" si="11"/>
        <v>111</v>
      </c>
      <c r="R29" s="705" t="s">
        <v>14</v>
      </c>
      <c r="S29" s="706">
        <f t="shared" si="12"/>
        <v>100</v>
      </c>
      <c r="T29" s="705" t="s">
        <v>14</v>
      </c>
      <c r="U29" s="706">
        <f t="shared" si="13"/>
        <v>100</v>
      </c>
      <c r="V29" s="705" t="s">
        <v>14</v>
      </c>
      <c r="W29" s="706">
        <f t="shared" si="14"/>
        <v>100</v>
      </c>
      <c r="X29" s="1355"/>
      <c r="Y29" s="3904"/>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911"/>
      <c r="Q30" s="1352">
        <f t="shared" si="11"/>
        <v>111</v>
      </c>
      <c r="R30" s="705" t="s">
        <v>14</v>
      </c>
      <c r="S30" s="706">
        <f t="shared" si="12"/>
        <v>100</v>
      </c>
      <c r="T30" s="705" t="s">
        <v>14</v>
      </c>
      <c r="U30" s="706">
        <f t="shared" si="13"/>
        <v>100</v>
      </c>
      <c r="V30" s="705" t="s">
        <v>14</v>
      </c>
      <c r="W30" s="706">
        <f t="shared" si="14"/>
        <v>100</v>
      </c>
      <c r="X30" s="1355"/>
      <c r="Y30" s="3904"/>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911"/>
      <c r="Q31" s="1352">
        <f t="shared" si="11"/>
        <v>111</v>
      </c>
      <c r="R31" s="705" t="s">
        <v>14</v>
      </c>
      <c r="S31" s="706">
        <f t="shared" si="12"/>
        <v>100</v>
      </c>
      <c r="T31" s="705" t="s">
        <v>14</v>
      </c>
      <c r="U31" s="706">
        <f t="shared" si="13"/>
        <v>100</v>
      </c>
      <c r="V31" s="705" t="s">
        <v>14</v>
      </c>
      <c r="W31" s="706">
        <f t="shared" si="14"/>
        <v>100</v>
      </c>
      <c r="X31" s="1355"/>
      <c r="Y31" s="3904"/>
      <c r="Z31" s="1356">
        <f t="shared" si="15"/>
        <v>111</v>
      </c>
      <c r="AA31" s="1353">
        <f t="shared" si="3"/>
        <v>1</v>
      </c>
      <c r="AB31" s="1353">
        <f t="shared" si="4"/>
        <v>1</v>
      </c>
      <c r="AC31" s="1353">
        <f t="shared" si="5"/>
        <v>1</v>
      </c>
    </row>
    <row r="32" spans="1:29" ht="15">
      <c r="A32" s="391" t="s">
        <v>1692</v>
      </c>
      <c r="B32" s="63" t="s">
        <v>1782</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905" t="s">
        <v>1694</v>
      </c>
      <c r="Q32" s="1352" t="str">
        <f t="shared" si="11"/>
        <v>商业类型</v>
      </c>
      <c r="R32" s="705" t="s">
        <v>14</v>
      </c>
      <c r="S32" s="706">
        <f t="shared" si="12"/>
        <v>100</v>
      </c>
      <c r="T32" s="705" t="s">
        <v>14</v>
      </c>
      <c r="U32" s="706">
        <f t="shared" si="13"/>
        <v>100</v>
      </c>
      <c r="V32" s="705" t="s">
        <v>14</v>
      </c>
      <c r="W32" s="706">
        <f t="shared" si="14"/>
        <v>100</v>
      </c>
      <c r="X32" s="1355"/>
      <c r="Y32" s="3908" t="s">
        <v>1694</v>
      </c>
      <c r="Z32" s="1356" t="str">
        <f t="shared" si="15"/>
        <v>商业类型</v>
      </c>
      <c r="AA32" s="1353">
        <f t="shared" si="3"/>
        <v>1</v>
      </c>
      <c r="AB32" s="1353">
        <f t="shared" si="4"/>
        <v>1</v>
      </c>
      <c r="AC32" s="1353">
        <f t="shared" si="5"/>
        <v>1</v>
      </c>
    </row>
    <row r="33" spans="1:29" s="422" customFormat="1" ht="15">
      <c r="A33" s="419"/>
      <c r="B33" s="375" t="s">
        <v>1695</v>
      </c>
      <c r="C33" s="420"/>
      <c r="D33" s="127">
        <v>100</v>
      </c>
      <c r="E33" s="381"/>
      <c r="F33" s="376">
        <f>LOOKUP(E33,103:103,104:104)-LOOKUP(C33,103:103,104:104)+100</f>
        <v>100</v>
      </c>
      <c r="G33" s="380"/>
      <c r="H33" s="127">
        <f>LOOKUP(G33,103:103,104:104)-LOOKUP(C33,103:103,104:104)+100</f>
        <v>100</v>
      </c>
      <c r="I33" s="380"/>
      <c r="J33" s="127">
        <f>LOOKUP(I33,103:103,104:104)-LOOKUP(C33,103:103,104:104)+100</f>
        <v>100</v>
      </c>
      <c r="K33" s="562"/>
      <c r="L33" s="2721"/>
      <c r="M33" s="2723"/>
      <c r="N33" s="2723"/>
      <c r="O33" s="2723"/>
      <c r="P33" s="3906"/>
      <c r="Q33" s="707" t="str">
        <f t="shared" si="11"/>
        <v>项目建筑规模</v>
      </c>
      <c r="R33" s="708" t="s">
        <v>14</v>
      </c>
      <c r="S33" s="709">
        <f t="shared" si="12"/>
        <v>100</v>
      </c>
      <c r="T33" s="708" t="s">
        <v>14</v>
      </c>
      <c r="U33" s="709">
        <f t="shared" si="13"/>
        <v>100</v>
      </c>
      <c r="V33" s="708" t="s">
        <v>14</v>
      </c>
      <c r="W33" s="709">
        <f t="shared" si="14"/>
        <v>100</v>
      </c>
      <c r="X33" s="710"/>
      <c r="Y33" s="3908"/>
      <c r="Z33" s="711" t="str">
        <f t="shared" si="15"/>
        <v>项目建筑规模</v>
      </c>
      <c r="AA33" s="1353">
        <f t="shared" si="3"/>
        <v>1</v>
      </c>
      <c r="AB33" s="1353">
        <f t="shared" si="4"/>
        <v>1</v>
      </c>
      <c r="AC33" s="1353">
        <f t="shared" si="5"/>
        <v>1</v>
      </c>
    </row>
    <row r="34" spans="1:29" ht="15">
      <c r="A34" s="423"/>
      <c r="B34" s="375" t="s">
        <v>1696</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906"/>
      <c r="Q34" s="1352" t="str">
        <f t="shared" si="11"/>
        <v>建筑结构</v>
      </c>
      <c r="R34" s="705" t="s">
        <v>14</v>
      </c>
      <c r="S34" s="706">
        <f t="shared" si="12"/>
        <v>100</v>
      </c>
      <c r="T34" s="705" t="s">
        <v>14</v>
      </c>
      <c r="U34" s="706">
        <f t="shared" si="13"/>
        <v>100</v>
      </c>
      <c r="V34" s="705" t="s">
        <v>14</v>
      </c>
      <c r="W34" s="706">
        <f t="shared" si="14"/>
        <v>100</v>
      </c>
      <c r="X34" s="1355"/>
      <c r="Y34" s="3908"/>
      <c r="Z34" s="1356" t="str">
        <f t="shared" si="15"/>
        <v>建筑结构</v>
      </c>
      <c r="AA34" s="1353">
        <f t="shared" si="3"/>
        <v>1</v>
      </c>
      <c r="AB34" s="1353">
        <f t="shared" si="4"/>
        <v>1</v>
      </c>
      <c r="AC34" s="1353">
        <f t="shared" si="5"/>
        <v>1</v>
      </c>
    </row>
    <row r="35" spans="1:29" ht="15">
      <c r="A35" s="423"/>
      <c r="B35" s="375" t="s">
        <v>1783</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906"/>
      <c r="Q35" s="1352" t="str">
        <f t="shared" si="11"/>
        <v>公共部分装修</v>
      </c>
      <c r="R35" s="705" t="s">
        <v>14</v>
      </c>
      <c r="S35" s="706">
        <f t="shared" si="12"/>
        <v>100</v>
      </c>
      <c r="T35" s="705" t="s">
        <v>14</v>
      </c>
      <c r="U35" s="706">
        <f t="shared" si="13"/>
        <v>100</v>
      </c>
      <c r="V35" s="705" t="s">
        <v>14</v>
      </c>
      <c r="W35" s="706">
        <f t="shared" si="14"/>
        <v>100</v>
      </c>
      <c r="X35" s="1355"/>
      <c r="Y35" s="3908"/>
      <c r="Z35" s="1356" t="str">
        <f t="shared" si="15"/>
        <v>公共部分装修</v>
      </c>
      <c r="AA35" s="1353">
        <f t="shared" si="3"/>
        <v>1</v>
      </c>
      <c r="AB35" s="1353">
        <f t="shared" si="4"/>
        <v>1</v>
      </c>
      <c r="AC35" s="1353">
        <f t="shared" si="5"/>
        <v>1</v>
      </c>
    </row>
    <row r="36" spans="1:29" ht="15">
      <c r="A36" s="423"/>
      <c r="B36" s="375" t="s">
        <v>1784</v>
      </c>
      <c r="C36" s="425">
        <v>0.65</v>
      </c>
      <c r="D36" s="386">
        <v>100</v>
      </c>
      <c r="E36" s="425">
        <f>C36</f>
        <v>0.65</v>
      </c>
      <c r="F36" s="412">
        <f>LOOKUP(E36,110:110,111:111)-LOOKUP(C36,110:110,111:111)+100</f>
        <v>100</v>
      </c>
      <c r="G36" s="425">
        <f>C36</f>
        <v>0.65</v>
      </c>
      <c r="H36" s="412">
        <f>LOOKUP(G36,110:110,111:111)-LOOKUP(C36,110:110,111:111)+100</f>
        <v>100</v>
      </c>
      <c r="I36" s="425">
        <f>C36</f>
        <v>0.65</v>
      </c>
      <c r="J36" s="386">
        <f>LOOKUP(I36,110:110,111:111)-LOOKUP(C36,110:110,111:111)+100</f>
        <v>100</v>
      </c>
      <c r="K36" s="561"/>
      <c r="L36" s="2722"/>
      <c r="M36" s="2716"/>
      <c r="N36" s="2716"/>
      <c r="O36" s="2716"/>
      <c r="P36" s="3906"/>
      <c r="Q36" s="1352" t="str">
        <f t="shared" si="11"/>
        <v>成新度</v>
      </c>
      <c r="R36" s="705" t="s">
        <v>14</v>
      </c>
      <c r="S36" s="706">
        <f t="shared" si="12"/>
        <v>100</v>
      </c>
      <c r="T36" s="705" t="s">
        <v>14</v>
      </c>
      <c r="U36" s="706">
        <f t="shared" si="13"/>
        <v>100</v>
      </c>
      <c r="V36" s="705" t="s">
        <v>14</v>
      </c>
      <c r="W36" s="706">
        <f t="shared" si="14"/>
        <v>100</v>
      </c>
      <c r="X36" s="1355"/>
      <c r="Y36" s="3908"/>
      <c r="Z36" s="1356" t="str">
        <f t="shared" si="15"/>
        <v>成新度</v>
      </c>
      <c r="AA36" s="1353">
        <f t="shared" si="3"/>
        <v>1</v>
      </c>
      <c r="AB36" s="1353">
        <f t="shared" si="4"/>
        <v>1</v>
      </c>
      <c r="AC36" s="1353">
        <f t="shared" si="5"/>
        <v>1</v>
      </c>
    </row>
    <row r="37" spans="1:29" s="108" customFormat="1" ht="15">
      <c r="A37" s="424"/>
      <c r="B37" s="375" t="s">
        <v>1785</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906"/>
      <c r="Q37" s="1343" t="str">
        <f t="shared" si="11"/>
        <v>市政基础设施</v>
      </c>
      <c r="R37" s="701" t="s">
        <v>14</v>
      </c>
      <c r="S37" s="702">
        <f t="shared" si="12"/>
        <v>100</v>
      </c>
      <c r="T37" s="701" t="s">
        <v>14</v>
      </c>
      <c r="U37" s="702">
        <f t="shared" si="13"/>
        <v>100</v>
      </c>
      <c r="V37" s="701" t="s">
        <v>14</v>
      </c>
      <c r="W37" s="702">
        <f t="shared" si="14"/>
        <v>100</v>
      </c>
      <c r="X37" s="703"/>
      <c r="Y37" s="3908"/>
      <c r="Z37" s="52" t="str">
        <f t="shared" si="15"/>
        <v>市政基础设施</v>
      </c>
      <c r="AA37" s="704">
        <f t="shared" si="3"/>
        <v>1</v>
      </c>
      <c r="AB37" s="704">
        <f t="shared" si="4"/>
        <v>1</v>
      </c>
      <c r="AC37" s="704">
        <f t="shared" si="5"/>
        <v>1</v>
      </c>
    </row>
    <row r="38" spans="1:29" ht="15">
      <c r="A38" s="423"/>
      <c r="B38" s="375" t="s">
        <v>1786</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906" t="s">
        <v>1694</v>
      </c>
      <c r="Q38" s="1352" t="str">
        <f t="shared" si="11"/>
        <v>业态</v>
      </c>
      <c r="R38" s="705" t="s">
        <v>14</v>
      </c>
      <c r="S38" s="706">
        <f t="shared" si="12"/>
        <v>100</v>
      </c>
      <c r="T38" s="705" t="s">
        <v>14</v>
      </c>
      <c r="U38" s="706">
        <f t="shared" si="13"/>
        <v>100</v>
      </c>
      <c r="V38" s="705" t="s">
        <v>14</v>
      </c>
      <c r="W38" s="706">
        <f t="shared" si="14"/>
        <v>100</v>
      </c>
      <c r="X38" s="1355"/>
      <c r="Y38" s="3908" t="s">
        <v>1694</v>
      </c>
      <c r="Z38" s="1356" t="str">
        <f t="shared" si="15"/>
        <v>业态</v>
      </c>
      <c r="AA38" s="1353">
        <f t="shared" si="3"/>
        <v>1</v>
      </c>
      <c r="AB38" s="1353">
        <f t="shared" si="4"/>
        <v>1</v>
      </c>
      <c r="AC38" s="1353">
        <f t="shared" si="5"/>
        <v>1</v>
      </c>
    </row>
    <row r="39" spans="1:29" ht="15">
      <c r="A39" s="423"/>
      <c r="B39" s="375" t="s">
        <v>1787</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906"/>
      <c r="Q39" s="1352" t="str">
        <f t="shared" si="11"/>
        <v>层高</v>
      </c>
      <c r="R39" s="705" t="s">
        <v>14</v>
      </c>
      <c r="S39" s="706">
        <f t="shared" si="12"/>
        <v>100</v>
      </c>
      <c r="T39" s="705" t="s">
        <v>14</v>
      </c>
      <c r="U39" s="706">
        <f t="shared" si="13"/>
        <v>100</v>
      </c>
      <c r="V39" s="705" t="s">
        <v>14</v>
      </c>
      <c r="W39" s="706">
        <f t="shared" si="14"/>
        <v>100</v>
      </c>
      <c r="X39" s="1355"/>
      <c r="Y39" s="3908"/>
      <c r="Z39" s="1356" t="str">
        <f t="shared" si="15"/>
        <v>层高</v>
      </c>
      <c r="AA39" s="1353">
        <f t="shared" si="3"/>
        <v>1</v>
      </c>
      <c r="AB39" s="1353">
        <f t="shared" si="4"/>
        <v>1</v>
      </c>
      <c r="AC39" s="1353">
        <f t="shared" si="5"/>
        <v>1</v>
      </c>
    </row>
    <row r="40" spans="1:29" ht="15">
      <c r="A40" s="423"/>
      <c r="B40" s="375" t="s">
        <v>1788</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906"/>
      <c r="Q40" s="1352" t="str">
        <f t="shared" si="11"/>
        <v>单套建筑面积</v>
      </c>
      <c r="R40" s="705" t="s">
        <v>14</v>
      </c>
      <c r="S40" s="706">
        <f t="shared" si="12"/>
        <v>100</v>
      </c>
      <c r="T40" s="705" t="s">
        <v>14</v>
      </c>
      <c r="U40" s="706">
        <f t="shared" si="13"/>
        <v>100</v>
      </c>
      <c r="V40" s="705" t="s">
        <v>14</v>
      </c>
      <c r="W40" s="706">
        <f t="shared" si="14"/>
        <v>100</v>
      </c>
      <c r="X40" s="1355"/>
      <c r="Y40" s="3908"/>
      <c r="Z40" s="1356" t="str">
        <f t="shared" si="15"/>
        <v>单套建筑面积</v>
      </c>
      <c r="AA40" s="1353">
        <f t="shared" si="3"/>
        <v>1</v>
      </c>
      <c r="AB40" s="1353">
        <f t="shared" si="4"/>
        <v>1</v>
      </c>
      <c r="AC40" s="1353">
        <f t="shared" si="5"/>
        <v>1</v>
      </c>
    </row>
    <row r="41" spans="1:29" s="422" customFormat="1" ht="15">
      <c r="A41" s="419"/>
      <c r="B41" s="1354" t="s">
        <v>1789</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906"/>
      <c r="Q41" s="707" t="str">
        <f t="shared" si="11"/>
        <v>进深比</v>
      </c>
      <c r="R41" s="708" t="s">
        <v>14</v>
      </c>
      <c r="S41" s="709">
        <f t="shared" si="12"/>
        <v>100</v>
      </c>
      <c r="T41" s="708" t="s">
        <v>14</v>
      </c>
      <c r="U41" s="709">
        <f t="shared" si="13"/>
        <v>100</v>
      </c>
      <c r="V41" s="708" t="s">
        <v>14</v>
      </c>
      <c r="W41" s="709">
        <f t="shared" si="14"/>
        <v>100</v>
      </c>
      <c r="X41" s="710"/>
      <c r="Y41" s="3908"/>
      <c r="Z41" s="711" t="str">
        <f t="shared" si="15"/>
        <v>进深比</v>
      </c>
      <c r="AA41" s="1353">
        <f t="shared" si="3"/>
        <v>1</v>
      </c>
      <c r="AB41" s="1353">
        <f t="shared" si="4"/>
        <v>1</v>
      </c>
      <c r="AC41" s="1353">
        <f t="shared" si="5"/>
        <v>1</v>
      </c>
    </row>
    <row r="42" spans="1:29" ht="15">
      <c r="A42" s="423"/>
      <c r="B42" s="375" t="s">
        <v>1790</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906"/>
      <c r="Q42" s="1352" t="str">
        <f t="shared" si="11"/>
        <v>内部装修</v>
      </c>
      <c r="R42" s="705" t="s">
        <v>14</v>
      </c>
      <c r="S42" s="706">
        <f t="shared" si="12"/>
        <v>100</v>
      </c>
      <c r="T42" s="705" t="s">
        <v>14</v>
      </c>
      <c r="U42" s="706">
        <f t="shared" si="13"/>
        <v>100</v>
      </c>
      <c r="V42" s="705" t="s">
        <v>14</v>
      </c>
      <c r="W42" s="706">
        <f t="shared" si="14"/>
        <v>100</v>
      </c>
      <c r="X42" s="1355"/>
      <c r="Y42" s="3908"/>
      <c r="Z42" s="1356" t="str">
        <f t="shared" si="15"/>
        <v>内部装修</v>
      </c>
      <c r="AA42" s="1353">
        <f t="shared" si="3"/>
        <v>1</v>
      </c>
      <c r="AB42" s="1353">
        <f t="shared" si="4"/>
        <v>1</v>
      </c>
      <c r="AC42" s="1353">
        <f t="shared" si="5"/>
        <v>1</v>
      </c>
    </row>
    <row r="43" spans="1:29" ht="15">
      <c r="A43" s="423"/>
      <c r="B43" s="375" t="s">
        <v>1705</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906"/>
      <c r="Q43" s="1352" t="str">
        <f t="shared" si="11"/>
        <v>内部装修维护情况</v>
      </c>
      <c r="R43" s="705" t="s">
        <v>14</v>
      </c>
      <c r="S43" s="706">
        <f t="shared" si="12"/>
        <v>100</v>
      </c>
      <c r="T43" s="705" t="s">
        <v>14</v>
      </c>
      <c r="U43" s="706">
        <f t="shared" si="13"/>
        <v>100</v>
      </c>
      <c r="V43" s="705" t="s">
        <v>14</v>
      </c>
      <c r="W43" s="706">
        <f t="shared" si="14"/>
        <v>100</v>
      </c>
      <c r="X43" s="1355"/>
      <c r="Y43" s="3908"/>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906"/>
      <c r="Q44" s="1343">
        <f t="shared" si="11"/>
        <v>111</v>
      </c>
      <c r="R44" s="701" t="s">
        <v>14</v>
      </c>
      <c r="S44" s="702">
        <f t="shared" si="12"/>
        <v>100</v>
      </c>
      <c r="T44" s="701" t="s">
        <v>14</v>
      </c>
      <c r="U44" s="702">
        <f t="shared" si="13"/>
        <v>100</v>
      </c>
      <c r="V44" s="701" t="s">
        <v>14</v>
      </c>
      <c r="W44" s="702">
        <f t="shared" si="14"/>
        <v>100</v>
      </c>
      <c r="X44" s="703"/>
      <c r="Y44" s="3908"/>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906"/>
      <c r="Q45" s="1352">
        <f t="shared" si="11"/>
        <v>111</v>
      </c>
      <c r="R45" s="705" t="s">
        <v>14</v>
      </c>
      <c r="S45" s="706">
        <f t="shared" si="12"/>
        <v>100</v>
      </c>
      <c r="T45" s="705" t="s">
        <v>14</v>
      </c>
      <c r="U45" s="706">
        <f t="shared" si="13"/>
        <v>100</v>
      </c>
      <c r="V45" s="705" t="s">
        <v>14</v>
      </c>
      <c r="W45" s="706">
        <f t="shared" si="14"/>
        <v>100</v>
      </c>
      <c r="X45" s="1355"/>
      <c r="Y45" s="3908"/>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907"/>
      <c r="Q46" s="1352">
        <f t="shared" si="11"/>
        <v>111</v>
      </c>
      <c r="R46" s="705" t="s">
        <v>14</v>
      </c>
      <c r="S46" s="706">
        <f t="shared" si="12"/>
        <v>100</v>
      </c>
      <c r="T46" s="705" t="s">
        <v>14</v>
      </c>
      <c r="U46" s="706">
        <f t="shared" si="13"/>
        <v>100</v>
      </c>
      <c r="V46" s="705" t="s">
        <v>14</v>
      </c>
      <c r="W46" s="706">
        <f t="shared" si="14"/>
        <v>100</v>
      </c>
      <c r="X46" s="1355"/>
      <c r="Y46" s="3909"/>
      <c r="Z46" s="1356">
        <f t="shared" si="15"/>
        <v>111</v>
      </c>
      <c r="AA46" s="1353">
        <f t="shared" si="3"/>
        <v>1</v>
      </c>
      <c r="AB46" s="1353">
        <f t="shared" si="4"/>
        <v>1</v>
      </c>
      <c r="AC46" s="1353">
        <f t="shared" si="5"/>
        <v>1</v>
      </c>
    </row>
    <row r="47" spans="1:29" ht="15">
      <c r="A47" s="430" t="s">
        <v>1706</v>
      </c>
      <c r="B47" s="431"/>
      <c r="C47" s="1154" t="s">
        <v>0</v>
      </c>
      <c r="D47" s="1155"/>
      <c r="E47" s="1156">
        <v>65000</v>
      </c>
      <c r="F47" s="1157"/>
      <c r="G47" s="1158">
        <f>E47</f>
        <v>65000</v>
      </c>
      <c r="H47" s="1159"/>
      <c r="I47" s="1156">
        <f>E47</f>
        <v>65000</v>
      </c>
      <c r="J47" s="1159"/>
      <c r="K47" s="714"/>
      <c r="L47" s="2724"/>
      <c r="M47" s="2725"/>
      <c r="N47" s="2716"/>
      <c r="O47" s="2725"/>
      <c r="P47" s="3901" t="str">
        <f>A47</f>
        <v>成交单价（元/平方米）</v>
      </c>
      <c r="Q47" s="3901"/>
      <c r="R47" s="3932">
        <f>E47</f>
        <v>65000</v>
      </c>
      <c r="S47" s="3932"/>
      <c r="T47" s="3932">
        <f>G47</f>
        <v>65000</v>
      </c>
      <c r="U47" s="3932"/>
      <c r="V47" s="3932">
        <f>I47</f>
        <v>65000</v>
      </c>
      <c r="W47" s="3932"/>
      <c r="X47" s="690"/>
      <c r="Y47" s="712"/>
      <c r="Z47" s="690"/>
      <c r="AA47" s="690"/>
      <c r="AB47" s="690"/>
      <c r="AC47" s="690"/>
    </row>
    <row r="48" spans="1:29" ht="15.75" thickBot="1">
      <c r="A48" s="437" t="s">
        <v>1791</v>
      </c>
      <c r="B48" s="438"/>
      <c r="C48" s="1160">
        <f>R49</f>
        <v>65000</v>
      </c>
      <c r="D48" s="2317" t="s">
        <v>2135</v>
      </c>
      <c r="E48" s="1161">
        <f>R48</f>
        <v>65000</v>
      </c>
      <c r="F48" s="2318"/>
      <c r="G48" s="1160">
        <f>T48</f>
        <v>65000</v>
      </c>
      <c r="H48" s="2318"/>
      <c r="I48" s="1161">
        <f>V48</f>
        <v>65000</v>
      </c>
      <c r="J48" s="2318"/>
      <c r="K48" s="2320">
        <f>F48+H48+J48</f>
        <v>0</v>
      </c>
      <c r="L48" s="2724"/>
      <c r="M48" s="2725"/>
      <c r="N48" s="2716"/>
      <c r="O48" s="2725"/>
      <c r="P48" s="3901" t="str">
        <f>A48</f>
        <v>比较价值（元/平方米）</v>
      </c>
      <c r="Q48" s="3901"/>
      <c r="R48" s="3902">
        <f>IF(F1="售价",ROUND(PRODUCT(R47,AA7:AA46),0),ROUND(PRODUCT(R47,AA7:AA46),1))</f>
        <v>65000</v>
      </c>
      <c r="S48" s="3902"/>
      <c r="T48" s="3902">
        <f>IF(F1="售价",ROUND(PRODUCT(T47,AB7:AB46),0),ROUND(PRODUCT(T47,AB7:AB46),1))</f>
        <v>65000</v>
      </c>
      <c r="U48" s="3902"/>
      <c r="V48" s="3902">
        <f>IF(F1="售价",ROUND(PRODUCT(V47,AC7:AC46),0),ROUND(PRODUCT(V47,AC7:AC46),1))</f>
        <v>65000</v>
      </c>
      <c r="W48" s="3902"/>
      <c r="X48" s="690"/>
      <c r="Y48" s="690"/>
      <c r="Z48" s="690"/>
      <c r="AA48" s="690"/>
      <c r="AB48" s="690"/>
      <c r="AC48" s="690"/>
    </row>
    <row r="49" spans="1:29" ht="15.75" thickBot="1">
      <c r="A49" s="441" t="s">
        <v>1792</v>
      </c>
      <c r="B49" s="442"/>
      <c r="C49" s="1163">
        <f>R49</f>
        <v>65000</v>
      </c>
      <c r="D49" s="1163"/>
      <c r="E49" s="1163"/>
      <c r="F49" s="1163"/>
      <c r="G49" s="1163"/>
      <c r="H49" s="1163"/>
      <c r="I49" s="1163"/>
      <c r="J49" s="1163"/>
      <c r="K49" s="715"/>
      <c r="L49" s="2724"/>
      <c r="M49" s="2725"/>
      <c r="N49" s="2716"/>
      <c r="O49" s="2725"/>
      <c r="P49" s="3898" t="str">
        <f>A49</f>
        <v>估价对象XX用房的比较价值（楼面单价，元/平方米）</v>
      </c>
      <c r="Q49" s="3899"/>
      <c r="R49" s="3900">
        <f>IF(F1="售价",ROUND(IF(D48="简单平均",AVERAGE(R48:V48),R48*F48+T48*H48+V48*J48),0),ROUND(IF(D48="简单平均",AVERAGE(R48:V48),R48*F48+T48*H48+V48*J48),1))</f>
        <v>65000</v>
      </c>
      <c r="S49" s="3900"/>
      <c r="T49" s="3900"/>
      <c r="U49" s="3900"/>
      <c r="V49" s="3900"/>
      <c r="W49" s="3900"/>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1793</v>
      </c>
      <c r="D52" s="447"/>
      <c r="E52" s="448">
        <f>IF(E47&lt;E48,E48/E47-1,E47/E48-1)</f>
        <v>0</v>
      </c>
      <c r="F52" s="449" t="str">
        <f>IF(OR(E52&gt;=0.3,E52&lt;=-0.3),"超过30%","")</f>
        <v/>
      </c>
      <c r="G52" s="448">
        <f>IF(G47&lt;G48,G48/G47-1,G47/G48-1)</f>
        <v>0</v>
      </c>
      <c r="H52" s="449" t="str">
        <f>IF(OR(G52&gt;=0.3,G52&lt;=-0.3),"超过30%","")</f>
        <v/>
      </c>
      <c r="I52" s="448">
        <f>IF(I47&lt;I48,I48/I47-1,I47/I48-1)</f>
        <v>0</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1794</v>
      </c>
      <c r="D53" s="450"/>
      <c r="E53" s="448">
        <f>IF(E48&lt;G48,G48/E48-1,E48/G48-1)</f>
        <v>0</v>
      </c>
      <c r="F53" s="449" t="str">
        <f>IF(OR(E53&gt;=0.2,E53&lt;=-0.2),"超过20%","")</f>
        <v/>
      </c>
      <c r="G53" s="448">
        <f>IF(G48&lt;I48,I48/G48-1,G48/I48-1)</f>
        <v>0</v>
      </c>
      <c r="H53" s="449" t="str">
        <f>IF(OR(G53&gt;=0.2,G53&lt;=-0.2),"超过20%","")</f>
        <v/>
      </c>
      <c r="I53" s="448">
        <f>IF(I48&lt;E48,E48/I48-1,I48/E48-1)</f>
        <v>0</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1795</v>
      </c>
      <c r="D54" s="450"/>
      <c r="E54" s="448">
        <f>IF(E47&lt;G47,G47/E47-1,E47/G47-1)</f>
        <v>0</v>
      </c>
      <c r="F54" s="449" t="str">
        <f>IF(OR(E54&gt;=0.3,E54&lt;=-0.3),"超过30%","")</f>
        <v/>
      </c>
      <c r="G54" s="448">
        <f>IF(G47&lt;I47,I47/G47-1,G47/I47-1)</f>
        <v>0</v>
      </c>
      <c r="H54" s="449" t="str">
        <f>IF(OR(G54&gt;=0.3,G54&lt;=-0.3),"超过30%","")</f>
        <v/>
      </c>
      <c r="I54" s="448">
        <f>IF(I47&lt;E47,E47/I47-1,I47/E47-1)</f>
        <v>0</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1796</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1677</v>
      </c>
      <c r="B58" s="455"/>
      <c r="C58" s="1184" t="str">
        <f>YEAR(C7)&amp;"-"&amp;MONTH(C7)</f>
        <v>2024-4</v>
      </c>
      <c r="D58" s="1185">
        <f>EDATE(C58,-1)</f>
        <v>45352</v>
      </c>
      <c r="E58" s="1185">
        <f t="shared" ref="E58:N58" si="16">EDATE(D58,-1)</f>
        <v>45323</v>
      </c>
      <c r="F58" s="1185">
        <f t="shared" si="16"/>
        <v>45292</v>
      </c>
      <c r="G58" s="1185">
        <f t="shared" si="16"/>
        <v>45261</v>
      </c>
      <c r="H58" s="1185">
        <f t="shared" si="16"/>
        <v>45231</v>
      </c>
      <c r="I58" s="1185">
        <f t="shared" si="16"/>
        <v>45200</v>
      </c>
      <c r="J58" s="1185">
        <f t="shared" si="16"/>
        <v>45170</v>
      </c>
      <c r="K58" s="1185">
        <f t="shared" si="16"/>
        <v>45139</v>
      </c>
      <c r="L58" s="1185">
        <f t="shared" si="16"/>
        <v>45108</v>
      </c>
      <c r="M58" s="1185">
        <f t="shared" si="16"/>
        <v>45078</v>
      </c>
      <c r="N58" s="1185">
        <f t="shared" si="16"/>
        <v>45047</v>
      </c>
      <c r="O58" s="1185">
        <f>EDATE(N58,-1)</f>
        <v>45017</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1714</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1679</v>
      </c>
      <c r="B61" s="459"/>
      <c r="C61" s="471" t="s">
        <v>1774</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1717</v>
      </c>
      <c r="B63" s="477" t="s">
        <v>1683</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1686</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1687</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v>0</v>
      </c>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1688</v>
      </c>
      <c r="B76" s="477" t="s">
        <v>1718</v>
      </c>
      <c r="C76" s="522" t="s">
        <v>1719</v>
      </c>
      <c r="D76" s="522" t="s">
        <v>1720</v>
      </c>
      <c r="E76" s="522" t="s">
        <v>1721</v>
      </c>
      <c r="F76" s="522" t="s">
        <v>1722</v>
      </c>
      <c r="G76" s="522" t="s">
        <v>1723</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1724</v>
      </c>
      <c r="C78" s="527" t="s">
        <v>1719</v>
      </c>
      <c r="D78" s="527" t="s">
        <v>1720</v>
      </c>
      <c r="E78" s="527" t="s">
        <v>1721</v>
      </c>
      <c r="F78" s="527" t="s">
        <v>1722</v>
      </c>
      <c r="G78" s="527" t="s">
        <v>1723</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1725</v>
      </c>
      <c r="C80" s="527" t="s">
        <v>1719</v>
      </c>
      <c r="D80" s="527" t="s">
        <v>1720</v>
      </c>
      <c r="E80" s="527" t="s">
        <v>1721</v>
      </c>
      <c r="F80" s="527" t="s">
        <v>1722</v>
      </c>
      <c r="G80" s="527" t="s">
        <v>1723</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1777</v>
      </c>
      <c r="C82" s="608" t="s">
        <v>1797</v>
      </c>
      <c r="D82" s="608" t="s">
        <v>1798</v>
      </c>
      <c r="E82" s="608" t="s">
        <v>1799</v>
      </c>
      <c r="F82" s="608" t="s">
        <v>1800</v>
      </c>
      <c r="G82" s="608" t="s">
        <v>1801</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1731</v>
      </c>
      <c r="C84" s="527" t="s">
        <v>1719</v>
      </c>
      <c r="D84" s="527" t="s">
        <v>1720</v>
      </c>
      <c r="E84" s="527" t="s">
        <v>1721</v>
      </c>
      <c r="F84" s="527" t="s">
        <v>1722</v>
      </c>
      <c r="G84" s="527" t="s">
        <v>1723</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1802</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1692</v>
      </c>
      <c r="B100" s="477" t="s">
        <v>1803</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1735</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1736</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1738</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1740</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1804</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1805</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1806</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1807</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1742</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1743</v>
      </c>
      <c r="C124" s="527" t="s">
        <v>1719</v>
      </c>
      <c r="D124" s="527" t="s">
        <v>1720</v>
      </c>
      <c r="E124" s="527" t="s">
        <v>1721</v>
      </c>
      <c r="F124" s="527" t="s">
        <v>1722</v>
      </c>
      <c r="G124" s="527" t="s">
        <v>1723</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20" priority="21" stopIfTrue="1" operator="containsText" text="超过">
      <formula>NOT(ISERROR(SEARCH("超过",F52)))</formula>
    </cfRule>
  </conditionalFormatting>
  <conditionalFormatting sqref="H54">
    <cfRule type="containsText" dxfId="19" priority="19" stopIfTrue="1" operator="containsText" text="超过">
      <formula>NOT(ISERROR(SEARCH("超过",H54)))</formula>
    </cfRule>
  </conditionalFormatting>
  <conditionalFormatting sqref="F54">
    <cfRule type="containsText" dxfId="18" priority="18" stopIfTrue="1" operator="containsText" text="超过">
      <formula>NOT(ISERROR(SEARCH("超过",F54)))</formula>
    </cfRule>
  </conditionalFormatting>
  <conditionalFormatting sqref="F53 H53">
    <cfRule type="containsText" dxfId="17" priority="17" stopIfTrue="1" operator="containsText" text="超过">
      <formula>NOT(ISERROR(SEARCH("超过",F53)))</formula>
    </cfRule>
  </conditionalFormatting>
  <conditionalFormatting sqref="E52">
    <cfRule type="expression" dxfId="16" priority="16" stopIfTrue="1">
      <formula>$F$52="超过30%"</formula>
    </cfRule>
  </conditionalFormatting>
  <conditionalFormatting sqref="E53">
    <cfRule type="expression" dxfId="15" priority="15" stopIfTrue="1">
      <formula>$F$53="超过20%"</formula>
    </cfRule>
  </conditionalFormatting>
  <conditionalFormatting sqref="E54">
    <cfRule type="expression" dxfId="14" priority="14" stopIfTrue="1">
      <formula>$F$54="超过30%"</formula>
    </cfRule>
  </conditionalFormatting>
  <conditionalFormatting sqref="G54">
    <cfRule type="expression" dxfId="13" priority="13" stopIfTrue="1">
      <formula>$H$54="超过30%"</formula>
    </cfRule>
  </conditionalFormatting>
  <conditionalFormatting sqref="G52">
    <cfRule type="expression" dxfId="12" priority="12" stopIfTrue="1">
      <formula>$H$52="超过30%"</formula>
    </cfRule>
  </conditionalFormatting>
  <conditionalFormatting sqref="G53">
    <cfRule type="expression" dxfId="11" priority="11" stopIfTrue="1">
      <formula>$H$53="超过20%"</formula>
    </cfRule>
  </conditionalFormatting>
  <conditionalFormatting sqref="J52">
    <cfRule type="containsText" dxfId="10" priority="10" stopIfTrue="1" operator="containsText" text="超过">
      <formula>NOT(ISERROR(SEARCH("超过",J52)))</formula>
    </cfRule>
  </conditionalFormatting>
  <conditionalFormatting sqref="J54">
    <cfRule type="containsText" dxfId="9" priority="9" stopIfTrue="1" operator="containsText" text="超过">
      <formula>NOT(ISERROR(SEARCH("超过",J54)))</formula>
    </cfRule>
  </conditionalFormatting>
  <conditionalFormatting sqref="J53">
    <cfRule type="containsText" dxfId="8" priority="8" stopIfTrue="1" operator="containsText" text="超过">
      <formula>NOT(ISERROR(SEARCH("超过",J53)))</formula>
    </cfRule>
  </conditionalFormatting>
  <conditionalFormatting sqref="I52">
    <cfRule type="expression" dxfId="7" priority="7" stopIfTrue="1">
      <formula>$J$52="超过30%"</formula>
    </cfRule>
  </conditionalFormatting>
  <conditionalFormatting sqref="I53">
    <cfRule type="expression" dxfId="6" priority="6" stopIfTrue="1">
      <formula>$J$53="超过20%"</formula>
    </cfRule>
  </conditionalFormatting>
  <conditionalFormatting sqref="I54">
    <cfRule type="expression" dxfId="5" priority="5" stopIfTrue="1">
      <formula>$J$54="超过30%"</formula>
    </cfRule>
  </conditionalFormatting>
  <conditionalFormatting sqref="F48">
    <cfRule type="expression" dxfId="4" priority="4">
      <formula>$D$48="简单平均"</formula>
    </cfRule>
  </conditionalFormatting>
  <conditionalFormatting sqref="H48">
    <cfRule type="expression" dxfId="3" priority="3">
      <formula>$D$48="简单平均"</formula>
    </cfRule>
  </conditionalFormatting>
  <conditionalFormatting sqref="J48">
    <cfRule type="expression" dxfId="2" priority="2">
      <formula>$D$48="简单平均"</formula>
    </cfRule>
  </conditionalFormatting>
  <conditionalFormatting sqref="F7:F46 H7:H46 J7:J46">
    <cfRule type="cellIs" dxfId="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24" sqref="F24"/>
      <selection pane="bottomLeft" activeCell="F24" sqref="F24"/>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2081</v>
      </c>
      <c r="C1" s="3973" t="s">
        <v>2082</v>
      </c>
      <c r="D1" s="3974"/>
      <c r="E1" s="3974"/>
      <c r="F1" s="3974"/>
      <c r="G1" s="3974"/>
      <c r="H1" s="3974"/>
      <c r="I1" s="3974"/>
      <c r="J1" s="3974"/>
      <c r="K1" s="3974"/>
      <c r="L1" s="3974"/>
      <c r="M1" s="3974"/>
      <c r="N1" s="3974"/>
      <c r="O1" s="3974"/>
      <c r="P1" s="3974"/>
      <c r="Q1" s="3974"/>
      <c r="R1" s="3974"/>
      <c r="S1" s="3975"/>
      <c r="T1" s="983" t="s">
        <v>2083</v>
      </c>
    </row>
    <row r="2" spans="1:45" s="655" customFormat="1">
      <c r="A2" s="984"/>
      <c r="B2" s="651" t="s">
        <v>2084</v>
      </c>
      <c r="C2" s="652" t="str">
        <f t="shared" ref="C2:L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2085</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2086</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2087</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2088</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2089</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2090</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2091</v>
      </c>
      <c r="B17" s="2149" t="s">
        <v>2092</v>
      </c>
      <c r="C17" s="1010" t="s">
        <v>3560</v>
      </c>
      <c r="D17" s="1011" t="s">
        <v>3561</v>
      </c>
      <c r="E17" s="1011" t="s">
        <v>3562</v>
      </c>
      <c r="F17" s="1011" t="s">
        <v>3563</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60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2093</v>
      </c>
      <c r="E19" s="1340"/>
      <c r="F19" s="1340"/>
      <c r="G19" s="1340"/>
      <c r="H19" s="1059"/>
      <c r="I19" s="159"/>
      <c r="J19" s="159"/>
      <c r="K19" s="159"/>
      <c r="L19" s="159"/>
      <c r="M19" s="159"/>
      <c r="N19" s="159"/>
      <c r="O19" s="159"/>
      <c r="P19" s="159"/>
      <c r="Q19" s="159"/>
      <c r="R19" s="718"/>
      <c r="S19" s="129"/>
    </row>
    <row r="20" spans="1:45" ht="16.5" thickBot="1">
      <c r="A20" s="662" t="s">
        <v>2094</v>
      </c>
      <c r="B20" s="294">
        <f>IF(D20="——",S22,S22-F20)</f>
        <v>58264</v>
      </c>
      <c r="C20" s="159"/>
      <c r="D20" s="2151" t="s">
        <v>43</v>
      </c>
      <c r="E20" s="1341"/>
      <c r="F20" s="983" t="e">
        <f ca="1">SUMIF(INDIRECT("'"&amp;H20&amp;"'"&amp;"!A:A"),"承租人权益价值",INDIRECT("'"&amp;H20&amp;"'"&amp;"!c:c"))</f>
        <v>#REF!</v>
      </c>
      <c r="G20" s="983" t="s">
        <v>2095</v>
      </c>
      <c r="H20" s="2152"/>
      <c r="I20" s="159"/>
      <c r="J20" s="159"/>
      <c r="K20" s="159"/>
      <c r="L20" s="159"/>
      <c r="M20" s="159"/>
      <c r="N20" s="159"/>
      <c r="O20" s="159"/>
      <c r="P20" s="159"/>
      <c r="Q20" s="159"/>
      <c r="R20" s="718"/>
      <c r="S20" s="129"/>
    </row>
    <row r="21" spans="1:45" ht="15.75">
      <c r="A21" s="662" t="s">
        <v>2096</v>
      </c>
      <c r="B21" s="294">
        <f>ROUND(B20*10000/B22,0)</f>
        <v>46477</v>
      </c>
      <c r="C21" s="159"/>
      <c r="D21" s="159"/>
      <c r="E21" s="159"/>
      <c r="F21" s="159"/>
      <c r="G21" s="159"/>
      <c r="H21" s="159"/>
      <c r="I21" s="159"/>
      <c r="J21" s="159"/>
      <c r="K21" s="159"/>
      <c r="L21" s="159"/>
      <c r="M21" s="159"/>
      <c r="N21" s="159"/>
      <c r="O21" s="159"/>
      <c r="P21" s="159"/>
      <c r="Q21" s="159"/>
      <c r="R21" s="718"/>
      <c r="S21" s="129"/>
    </row>
    <row r="22" spans="1:45">
      <c r="A22" s="316" t="s">
        <v>2097</v>
      </c>
      <c r="B22" s="21">
        <f>SUM(B24:B10000)</f>
        <v>12536.1</v>
      </c>
      <c r="C22" s="3970" t="s">
        <v>27</v>
      </c>
      <c r="D22" s="3971"/>
      <c r="E22" s="3971"/>
      <c r="F22" s="3971"/>
      <c r="G22" s="3971"/>
      <c r="H22" s="3971"/>
      <c r="I22" s="3971"/>
      <c r="J22" s="3971"/>
      <c r="K22" s="3971"/>
      <c r="L22" s="3971"/>
      <c r="M22" s="3971"/>
      <c r="N22" s="3971"/>
      <c r="O22" s="3971"/>
      <c r="P22" s="3971"/>
      <c r="Q22" s="3972"/>
      <c r="R22" s="663">
        <f>ROUND(S22*10000/B22,0)</f>
        <v>46477</v>
      </c>
      <c r="S22" s="21">
        <f>SUM(S24:S10000)</f>
        <v>58264</v>
      </c>
    </row>
    <row r="23" spans="1:45" s="9" customFormat="1" ht="24">
      <c r="A23" s="8" t="s">
        <v>2098</v>
      </c>
      <c r="B23" s="8" t="s">
        <v>2099</v>
      </c>
      <c r="C23" s="8" t="s">
        <v>2100</v>
      </c>
      <c r="D23" s="8" t="str">
        <f>B5</f>
        <v>修正项2</v>
      </c>
      <c r="E23" s="8" t="s">
        <v>2100</v>
      </c>
      <c r="F23" s="8" t="str">
        <f>B7</f>
        <v>修正项3</v>
      </c>
      <c r="G23" s="8" t="s">
        <v>2100</v>
      </c>
      <c r="H23" s="8" t="str">
        <f>B9</f>
        <v>修正项4</v>
      </c>
      <c r="I23" s="8" t="s">
        <v>2100</v>
      </c>
      <c r="J23" s="8" t="str">
        <f>B11</f>
        <v>修正项5</v>
      </c>
      <c r="K23" s="8" t="s">
        <v>2100</v>
      </c>
      <c r="L23" s="8" t="str">
        <f>B13</f>
        <v>修正项6</v>
      </c>
      <c r="M23" s="8" t="s">
        <v>2100</v>
      </c>
      <c r="N23" s="8" t="str">
        <f>B15</f>
        <v>修正项7</v>
      </c>
      <c r="O23" s="8" t="s">
        <v>2100</v>
      </c>
      <c r="P23" s="8" t="str">
        <f>B17</f>
        <v>楼层</v>
      </c>
      <c r="Q23" s="8" t="s">
        <v>2100</v>
      </c>
      <c r="R23" s="664" t="s">
        <v>2101</v>
      </c>
      <c r="S23" s="8" t="s">
        <v>2102</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tr">
        <f>面积表!K44</f>
        <v>1层</v>
      </c>
      <c r="B24" s="665">
        <f>面积表!L44</f>
        <v>2758.4999999999995</v>
      </c>
      <c r="C24" s="2810">
        <v>1</v>
      </c>
      <c r="D24" s="2811"/>
      <c r="E24" s="2810">
        <v>1</v>
      </c>
      <c r="F24" s="2811"/>
      <c r="G24" s="2810">
        <v>1</v>
      </c>
      <c r="H24" s="2811"/>
      <c r="I24" s="2810">
        <v>1</v>
      </c>
      <c r="J24" s="2811"/>
      <c r="K24" s="2810">
        <v>1</v>
      </c>
      <c r="L24" s="2811"/>
      <c r="M24" s="2810">
        <v>1</v>
      </c>
      <c r="N24" s="2811"/>
      <c r="O24" s="2810">
        <v>1</v>
      </c>
      <c r="P24" s="2811" t="s">
        <v>3529</v>
      </c>
      <c r="Q24" s="2810">
        <v>1</v>
      </c>
      <c r="R24" s="668">
        <f>'比较法-商业'!C48</f>
        <v>65000</v>
      </c>
      <c r="S24" s="666">
        <f t="shared" ref="S24:S54" si="11">ROUND(R24*B24/10000,0)</f>
        <v>17930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665" t="str">
        <f>面积表!K45</f>
        <v>2层</v>
      </c>
      <c r="B25" s="665">
        <f>面积表!L45</f>
        <v>3387.3</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3564</v>
      </c>
      <c r="Q25" s="21">
        <f>(SUMIF($17:$17,P25,$18:$18)-SUMIF($17:$17,$P$24,$18:$18)+100)/100</f>
        <v>0.7</v>
      </c>
      <c r="R25" s="663">
        <f>IF(B25="",0,ROUND($R$24*C25*E25*G25*I25*K25*M25*O25*Q25,0))</f>
        <v>45500</v>
      </c>
      <c r="S25" s="316">
        <f t="shared" si="11"/>
        <v>15412</v>
      </c>
    </row>
    <row r="26" spans="1:45">
      <c r="A26" s="665" t="str">
        <f>面积表!K46</f>
        <v>3层</v>
      </c>
      <c r="B26" s="665">
        <f>面积表!L46</f>
        <v>3686.7</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t="s">
        <v>3438</v>
      </c>
      <c r="Q26" s="21">
        <f t="shared" ref="Q26:Q89" si="19">(SUMIF($17:$17,P26,$18:$18)-SUMIF($17:$17,$P$24,$18:$18)+100)/100</f>
        <v>0.6</v>
      </c>
      <c r="R26" s="663">
        <f t="shared" ref="R26:R89" si="20">IF(B26="",0,ROUND($R$24*C26*E26*G26*I26*K26*M26*O26*Q26,0))</f>
        <v>39000</v>
      </c>
      <c r="S26" s="316">
        <f t="shared" si="11"/>
        <v>14378</v>
      </c>
    </row>
    <row r="27" spans="1:45">
      <c r="A27" s="665" t="str">
        <f>面积表!K47</f>
        <v>4层</v>
      </c>
      <c r="B27" s="665">
        <f>面积表!L47</f>
        <v>2703.6</v>
      </c>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t="s">
        <v>3441</v>
      </c>
      <c r="Q27" s="21">
        <f t="shared" si="19"/>
        <v>0.6</v>
      </c>
      <c r="R27" s="663">
        <f t="shared" si="20"/>
        <v>39000</v>
      </c>
      <c r="S27" s="316">
        <f t="shared" si="11"/>
        <v>10544</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0</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0</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0</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0</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0</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0</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0</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0</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0</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0</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0</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0</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0</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0</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0</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0</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0</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0</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0</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0</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0</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0</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0</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0</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0</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0</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0</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0</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0</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0</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0</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0</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0</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0</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0</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0</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0</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0</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0</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0</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0</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0</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0</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0</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0</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0</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0</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0</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0</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0</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0</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0</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0</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0</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0</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0</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0</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0</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0</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0</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0</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0</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0</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0</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0</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0</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0</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0</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0</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0</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0</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0</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0</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0</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0</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0</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0</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0</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0</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0</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0</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0</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0</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0</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0</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0</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0</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0</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0</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0</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0</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0</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0</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0</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0</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0</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0</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0</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0</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0</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0</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0</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0</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0</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0</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0</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0</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0</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0</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0</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0</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0</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0</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0</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0</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0</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0</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0</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0</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0</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0</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0</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0</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0</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0</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0</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0</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0</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0</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0</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0</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0</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0</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0</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0</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0</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0</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0</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0</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0</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0</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0</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0</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0</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0</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0</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0</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0</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0</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0</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0</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0</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0</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0</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0</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0</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0</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0</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0</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0</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0</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0</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0</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0</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0</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0</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0</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0</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0</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0</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0</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0</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0</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0</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0</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0</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0</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0</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0</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0</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0</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0</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0</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0</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0</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0</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0</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0</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0</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0</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0</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0</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0</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0</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0</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0</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0</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0</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0</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0</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0</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0</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0</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0</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0</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0</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0</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0</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0</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0</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0</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0</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0</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0</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0</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0</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0</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0</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0</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0</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0</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0</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0</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0</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0</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0</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0</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0</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0</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0</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0</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0</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0</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0</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0</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0</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0</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0</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0</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0</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0</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0</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0</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0</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0</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0</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0</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0</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0</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0</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0</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0</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0</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0</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0</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0</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0</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0</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0</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0</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0</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0</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0</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0</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0</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0</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0</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0</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0</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0</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0</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0</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0</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0</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0</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0</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0</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0</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0</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0</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0</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0</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0</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0</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0</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0</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0</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0</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0</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0</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0</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0</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0</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0</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0</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0</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0</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0</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0</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0</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0</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0</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0</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0</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0</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0</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0</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0</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0</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0</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0</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0</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0</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0</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0</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0</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0</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0</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0</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0</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0</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0</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0</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0</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0</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0</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0</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0</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0</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0</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0</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0</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0</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0</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0</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0</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0</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0</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0</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0</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0</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0</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0</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0</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0</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0</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0</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0</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0</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0</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0</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0</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0</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0</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0</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0</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0</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0</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0</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0</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0</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0</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0</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0</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0</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0</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0</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0</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0</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0</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0</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0</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0</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0</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0</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0</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0</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0</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0</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0</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0</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0</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0</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0</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0</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0</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0</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0</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0</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0</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0</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0</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0</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0</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0</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0</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0</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0</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0</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0</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0</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0</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0</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0</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0</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0</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0</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0</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0</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0</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0</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0</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0</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0</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0</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0</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0</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0</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0</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0</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0</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0</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0</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0</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0</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0</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0</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0</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0</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0</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0</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0</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0</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0</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0</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0</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0</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0</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0</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0</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0</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0</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0</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0</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0</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0</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0</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0</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0</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0</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0</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0</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0</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0</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0</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0</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0</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0</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0</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0</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0</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0</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0</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0</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0</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0</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0</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0</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0</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0</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0</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0</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0</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0</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0</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0</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0</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0</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0</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0</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0</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0</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0</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0</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0</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0</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0</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0</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0</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0</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0</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0</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0</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0</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0</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0</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0</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2595</v>
      </c>
      <c r="B1" s="3072" t="s">
        <v>2596</v>
      </c>
      <c r="C1" s="3072" t="s">
        <v>2597</v>
      </c>
      <c r="D1" s="3072" t="s">
        <v>2598</v>
      </c>
      <c r="E1" s="3072" t="s">
        <v>2599</v>
      </c>
      <c r="F1" s="3072" t="s">
        <v>2600</v>
      </c>
      <c r="G1" s="3072" t="s">
        <v>2601</v>
      </c>
      <c r="H1" s="3072" t="s">
        <v>2602</v>
      </c>
      <c r="I1" s="3072" t="s">
        <v>2603</v>
      </c>
      <c r="J1" s="3072" t="s">
        <v>2604</v>
      </c>
      <c r="K1" s="3072" t="s">
        <v>2605</v>
      </c>
      <c r="L1" s="3072" t="s">
        <v>2606</v>
      </c>
      <c r="M1" s="3073" t="s">
        <v>2607</v>
      </c>
    </row>
    <row r="2" spans="1:13" ht="19.5" customHeight="1">
      <c r="A2" s="3075" t="s">
        <v>2608</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2609</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2610</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2611</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2612</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2613</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2614</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2615</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2616</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2617</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2618</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2619</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2620</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2621</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2622</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2623</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2624</v>
      </c>
      <c r="B18" s="3097"/>
      <c r="C18" s="3098"/>
      <c r="D18" s="3098"/>
      <c r="E18" s="3097"/>
      <c r="F18" s="3098"/>
      <c r="G18" s="3098"/>
    </row>
    <row r="19" spans="1:13" ht="19.5" customHeight="1" thickBot="1">
      <c r="A19" s="3095" t="s">
        <v>2625</v>
      </c>
      <c r="B19" s="3100" t="s">
        <v>2626</v>
      </c>
      <c r="C19" s="3100" t="s">
        <v>2627</v>
      </c>
      <c r="D19" s="3101"/>
      <c r="E19" s="3095" t="s">
        <v>2628</v>
      </c>
      <c r="F19" s="3102"/>
      <c r="G19" s="3102"/>
    </row>
    <row r="20" spans="1:13" ht="19.5" customHeight="1">
      <c r="A20" s="3985" t="s">
        <v>2608</v>
      </c>
      <c r="B20" s="3980" t="s">
        <v>2629</v>
      </c>
      <c r="C20" s="3103" t="s">
        <v>2440</v>
      </c>
      <c r="D20" s="3104"/>
      <c r="E20" s="3105">
        <v>1</v>
      </c>
      <c r="F20" s="3106" t="s">
        <v>2441</v>
      </c>
      <c r="G20" s="3106"/>
    </row>
    <row r="21" spans="1:13" ht="19.5" customHeight="1">
      <c r="A21" s="3986"/>
      <c r="B21" s="3979"/>
      <c r="C21" s="3107" t="s">
        <v>2442</v>
      </c>
      <c r="D21" s="3108"/>
      <c r="E21" s="3109">
        <v>1</v>
      </c>
      <c r="F21" s="3106" t="s">
        <v>2443</v>
      </c>
      <c r="G21" s="3106"/>
    </row>
    <row r="22" spans="1:13" ht="19.5" customHeight="1">
      <c r="A22" s="3986"/>
      <c r="B22" s="3979"/>
      <c r="C22" s="3107" t="s">
        <v>2444</v>
      </c>
      <c r="D22" s="3108"/>
      <c r="E22" s="3109">
        <v>0.9</v>
      </c>
      <c r="F22" s="3106" t="s">
        <v>2445</v>
      </c>
      <c r="G22" s="3106"/>
    </row>
    <row r="23" spans="1:13" ht="19.5" customHeight="1">
      <c r="A23" s="3986"/>
      <c r="B23" s="3979"/>
      <c r="C23" s="3107" t="s">
        <v>2446</v>
      </c>
      <c r="D23" s="3108"/>
      <c r="E23" s="3109">
        <v>0.9</v>
      </c>
      <c r="F23" s="3106" t="s">
        <v>2447</v>
      </c>
      <c r="G23" s="3106"/>
    </row>
    <row r="24" spans="1:13" ht="19.5" customHeight="1">
      <c r="A24" s="3986"/>
      <c r="B24" s="3979"/>
      <c r="C24" s="3107" t="s">
        <v>2448</v>
      </c>
      <c r="D24" s="3108"/>
      <c r="E24" s="3109">
        <v>0.8</v>
      </c>
      <c r="F24" s="3106" t="s">
        <v>2449</v>
      </c>
      <c r="G24" s="3106"/>
    </row>
    <row r="25" spans="1:13" ht="19.5" customHeight="1" thickBot="1">
      <c r="A25" s="3987"/>
      <c r="B25" s="3981"/>
      <c r="C25" s="3110" t="s">
        <v>2450</v>
      </c>
      <c r="D25" s="3111"/>
      <c r="E25" s="3112">
        <v>0.8</v>
      </c>
      <c r="F25" s="3106" t="s">
        <v>2451</v>
      </c>
      <c r="G25" s="3106"/>
    </row>
    <row r="26" spans="1:13" ht="19.5" customHeight="1" thickBot="1">
      <c r="A26" s="3113" t="s">
        <v>2630</v>
      </c>
      <c r="B26" s="3114" t="s">
        <v>2629</v>
      </c>
      <c r="C26" s="3115" t="s">
        <v>2631</v>
      </c>
      <c r="D26" s="3116"/>
      <c r="E26" s="3117">
        <v>1</v>
      </c>
      <c r="F26" s="3106" t="s">
        <v>2452</v>
      </c>
      <c r="G26" s="3106"/>
    </row>
    <row r="27" spans="1:13" ht="19.5" customHeight="1">
      <c r="A27" s="3982" t="s">
        <v>2632</v>
      </c>
      <c r="B27" s="3980" t="s">
        <v>2613</v>
      </c>
      <c r="C27" s="3103" t="s">
        <v>2453</v>
      </c>
      <c r="D27" s="3104"/>
      <c r="E27" s="3105">
        <v>1</v>
      </c>
      <c r="F27" s="3106" t="s">
        <v>2454</v>
      </c>
      <c r="G27" s="3106"/>
    </row>
    <row r="28" spans="1:13" ht="19.5" customHeight="1">
      <c r="A28" s="3983"/>
      <c r="B28" s="3979"/>
      <c r="C28" s="3107" t="s">
        <v>2455</v>
      </c>
      <c r="D28" s="3108"/>
      <c r="E28" s="3109">
        <v>1</v>
      </c>
      <c r="F28" s="3106" t="s">
        <v>2456</v>
      </c>
      <c r="G28" s="3106"/>
    </row>
    <row r="29" spans="1:13" ht="19.5" customHeight="1">
      <c r="A29" s="3983"/>
      <c r="B29" s="3979"/>
      <c r="C29" s="3107" t="s">
        <v>2457</v>
      </c>
      <c r="D29" s="3108"/>
      <c r="E29" s="3109">
        <v>0.8</v>
      </c>
      <c r="F29" s="3106" t="s">
        <v>2458</v>
      </c>
      <c r="G29" s="3106"/>
    </row>
    <row r="30" spans="1:13" ht="19.5" customHeight="1">
      <c r="A30" s="3983"/>
      <c r="B30" s="3979"/>
      <c r="C30" s="3107" t="s">
        <v>2459</v>
      </c>
      <c r="D30" s="3108"/>
      <c r="E30" s="3109">
        <v>0.8</v>
      </c>
      <c r="F30" s="3106" t="s">
        <v>2460</v>
      </c>
      <c r="G30" s="3106"/>
    </row>
    <row r="31" spans="1:13" ht="19.5" customHeight="1">
      <c r="A31" s="3983"/>
      <c r="B31" s="3979"/>
      <c r="C31" s="3107" t="s">
        <v>2461</v>
      </c>
      <c r="D31" s="3108"/>
      <c r="E31" s="3109">
        <v>0.8</v>
      </c>
      <c r="F31" s="3106" t="s">
        <v>2462</v>
      </c>
      <c r="G31" s="3106"/>
    </row>
    <row r="32" spans="1:13" ht="19.5" customHeight="1">
      <c r="A32" s="3983"/>
      <c r="B32" s="3979"/>
      <c r="C32" s="3107" t="s">
        <v>2463</v>
      </c>
      <c r="D32" s="3108"/>
      <c r="E32" s="3109">
        <v>0.7</v>
      </c>
      <c r="F32" s="3106" t="s">
        <v>2464</v>
      </c>
      <c r="G32" s="3106"/>
    </row>
    <row r="33" spans="1:7" ht="19.5" customHeight="1">
      <c r="A33" s="3983"/>
      <c r="B33" s="3979"/>
      <c r="C33" s="3107" t="s">
        <v>2465</v>
      </c>
      <c r="D33" s="3108"/>
      <c r="E33" s="3109">
        <v>0.8</v>
      </c>
      <c r="F33" s="3106" t="s">
        <v>2466</v>
      </c>
      <c r="G33" s="3106"/>
    </row>
    <row r="34" spans="1:7" ht="19.5" customHeight="1">
      <c r="A34" s="3983"/>
      <c r="B34" s="3979"/>
      <c r="C34" s="3107" t="s">
        <v>2467</v>
      </c>
      <c r="D34" s="3108"/>
      <c r="E34" s="3109">
        <v>0.6</v>
      </c>
      <c r="F34" s="3106" t="s">
        <v>2468</v>
      </c>
      <c r="G34" s="3106"/>
    </row>
    <row r="35" spans="1:7" ht="19.5" customHeight="1">
      <c r="A35" s="3983"/>
      <c r="B35" s="3979"/>
      <c r="C35" s="3107" t="s">
        <v>2469</v>
      </c>
      <c r="D35" s="3108"/>
      <c r="E35" s="3109">
        <v>0.2</v>
      </c>
      <c r="F35" s="3106" t="s">
        <v>2470</v>
      </c>
      <c r="G35" s="3106"/>
    </row>
    <row r="36" spans="1:7" ht="19.5" customHeight="1">
      <c r="A36" s="3983"/>
      <c r="B36" s="3979"/>
      <c r="C36" s="3107" t="s">
        <v>2471</v>
      </c>
      <c r="D36" s="3108"/>
      <c r="E36" s="3109">
        <v>0.2</v>
      </c>
      <c r="F36" s="3106" t="s">
        <v>2472</v>
      </c>
      <c r="G36" s="3106"/>
    </row>
    <row r="37" spans="1:7" ht="19.5" customHeight="1">
      <c r="A37" s="3983"/>
      <c r="B37" s="3977" t="s">
        <v>2633</v>
      </c>
      <c r="C37" s="3107" t="s">
        <v>2473</v>
      </c>
      <c r="D37" s="3108"/>
      <c r="E37" s="3109">
        <v>0.6</v>
      </c>
      <c r="F37" s="3106" t="s">
        <v>2474</v>
      </c>
      <c r="G37" s="3106"/>
    </row>
    <row r="38" spans="1:7" ht="19.5" customHeight="1">
      <c r="A38" s="3983"/>
      <c r="B38" s="3979"/>
      <c r="C38" s="3107" t="s">
        <v>2475</v>
      </c>
      <c r="D38" s="3108"/>
      <c r="E38" s="3109">
        <v>0.6</v>
      </c>
      <c r="F38" s="3106" t="s">
        <v>2476</v>
      </c>
      <c r="G38" s="3106"/>
    </row>
    <row r="39" spans="1:7" ht="19.5" customHeight="1" thickBot="1">
      <c r="A39" s="3984"/>
      <c r="B39" s="3981"/>
      <c r="C39" s="3110" t="s">
        <v>2477</v>
      </c>
      <c r="D39" s="3111"/>
      <c r="E39" s="3112">
        <v>0.6</v>
      </c>
      <c r="F39" s="3106" t="s">
        <v>2478</v>
      </c>
      <c r="G39" s="3106"/>
    </row>
    <row r="40" spans="1:7" ht="19.5" customHeight="1" thickBot="1">
      <c r="A40" s="3113" t="s">
        <v>2610</v>
      </c>
      <c r="B40" s="3114" t="s">
        <v>2610</v>
      </c>
      <c r="C40" s="3115" t="s">
        <v>2634</v>
      </c>
      <c r="D40" s="3116"/>
      <c r="E40" s="3117">
        <v>1</v>
      </c>
      <c r="F40" s="3106" t="s">
        <v>2479</v>
      </c>
      <c r="G40" s="3106"/>
    </row>
    <row r="41" spans="1:7" ht="19.5" customHeight="1">
      <c r="A41" s="3985" t="s">
        <v>2611</v>
      </c>
      <c r="B41" s="3980" t="s">
        <v>2635</v>
      </c>
      <c r="C41" s="3103" t="s">
        <v>2480</v>
      </c>
      <c r="D41" s="3104"/>
      <c r="E41" s="3105">
        <v>1</v>
      </c>
      <c r="F41" s="3106" t="s">
        <v>2481</v>
      </c>
      <c r="G41" s="3106"/>
    </row>
    <row r="42" spans="1:7" ht="19.5" customHeight="1">
      <c r="A42" s="3986"/>
      <c r="B42" s="3979"/>
      <c r="C42" s="3107" t="s">
        <v>2482</v>
      </c>
      <c r="D42" s="3108"/>
      <c r="E42" s="3109">
        <v>1</v>
      </c>
      <c r="F42" s="3106" t="s">
        <v>2483</v>
      </c>
      <c r="G42" s="3106"/>
    </row>
    <row r="43" spans="1:7" ht="19.5" customHeight="1">
      <c r="A43" s="3986"/>
      <c r="B43" s="3978"/>
      <c r="C43" s="3107" t="s">
        <v>2484</v>
      </c>
      <c r="D43" s="3108"/>
      <c r="E43" s="3109">
        <v>1.5</v>
      </c>
      <c r="F43" s="3106" t="s">
        <v>2485</v>
      </c>
      <c r="G43" s="3106"/>
    </row>
    <row r="44" spans="1:7" ht="19.5" customHeight="1">
      <c r="A44" s="3986"/>
      <c r="B44" s="3118" t="s">
        <v>2636</v>
      </c>
      <c r="C44" s="3107" t="s">
        <v>2637</v>
      </c>
      <c r="D44" s="3108"/>
      <c r="E44" s="3109">
        <v>2</v>
      </c>
      <c r="F44" s="3106" t="s">
        <v>2486</v>
      </c>
      <c r="G44" s="3106"/>
    </row>
    <row r="45" spans="1:7" ht="19.5" customHeight="1">
      <c r="A45" s="3986"/>
      <c r="B45" s="3977" t="s">
        <v>2638</v>
      </c>
      <c r="C45" s="3107" t="s">
        <v>2487</v>
      </c>
      <c r="D45" s="3108"/>
      <c r="E45" s="3109">
        <v>1</v>
      </c>
      <c r="F45" s="3106" t="s">
        <v>2488</v>
      </c>
      <c r="G45" s="3106"/>
    </row>
    <row r="46" spans="1:7" ht="19.5" customHeight="1">
      <c r="A46" s="3986"/>
      <c r="B46" s="3979"/>
      <c r="C46" s="3107" t="s">
        <v>2489</v>
      </c>
      <c r="D46" s="3108"/>
      <c r="E46" s="3109">
        <v>1</v>
      </c>
      <c r="F46" s="3106" t="s">
        <v>2490</v>
      </c>
      <c r="G46" s="3106"/>
    </row>
    <row r="47" spans="1:7" ht="19.5" customHeight="1">
      <c r="A47" s="3986"/>
      <c r="B47" s="3979"/>
      <c r="C47" s="3107" t="s">
        <v>2491</v>
      </c>
      <c r="D47" s="3108"/>
      <c r="E47" s="3109">
        <v>1</v>
      </c>
      <c r="F47" s="3106" t="s">
        <v>2492</v>
      </c>
      <c r="G47" s="3106"/>
    </row>
    <row r="48" spans="1:7" ht="19.5" customHeight="1">
      <c r="A48" s="3986"/>
      <c r="B48" s="3979"/>
      <c r="C48" s="3107" t="s">
        <v>2493</v>
      </c>
      <c r="D48" s="3108"/>
      <c r="E48" s="3109">
        <v>1</v>
      </c>
      <c r="F48" s="3106" t="s">
        <v>2494</v>
      </c>
      <c r="G48" s="3106"/>
    </row>
    <row r="49" spans="1:7" ht="19.5" customHeight="1">
      <c r="A49" s="3986"/>
      <c r="B49" s="3979"/>
      <c r="C49" s="3107" t="s">
        <v>2495</v>
      </c>
      <c r="D49" s="3108"/>
      <c r="E49" s="3109">
        <v>1</v>
      </c>
      <c r="F49" s="3106" t="s">
        <v>2496</v>
      </c>
      <c r="G49" s="3106"/>
    </row>
    <row r="50" spans="1:7" ht="19.5" customHeight="1">
      <c r="A50" s="3986"/>
      <c r="B50" s="3979"/>
      <c r="C50" s="3107" t="s">
        <v>2497</v>
      </c>
      <c r="D50" s="3108"/>
      <c r="E50" s="3109">
        <v>1</v>
      </c>
      <c r="F50" s="3106" t="s">
        <v>2498</v>
      </c>
      <c r="G50" s="3106"/>
    </row>
    <row r="51" spans="1:7" ht="19.5" customHeight="1" thickBot="1">
      <c r="A51" s="3987"/>
      <c r="B51" s="3981"/>
      <c r="C51" s="3110" t="s">
        <v>2499</v>
      </c>
      <c r="D51" s="3111"/>
      <c r="E51" s="3112">
        <v>1</v>
      </c>
      <c r="F51" s="3106" t="s">
        <v>2500</v>
      </c>
      <c r="G51" s="3106"/>
    </row>
    <row r="52" spans="1:7" ht="19.5" customHeight="1">
      <c r="A52" s="3119"/>
      <c r="B52" s="3119"/>
      <c r="C52" s="3119"/>
      <c r="D52" s="3119"/>
      <c r="E52" s="3119"/>
      <c r="F52" s="3119"/>
      <c r="G52" s="3119"/>
    </row>
    <row r="54" spans="1:7" ht="19.5" customHeight="1">
      <c r="A54" s="3120"/>
      <c r="B54" s="3092" t="s">
        <v>2639</v>
      </c>
      <c r="C54" s="3092" t="s">
        <v>2639</v>
      </c>
      <c r="D54" s="3092" t="s">
        <v>2639</v>
      </c>
      <c r="E54" s="3095" t="s">
        <v>2639</v>
      </c>
      <c r="F54" s="3095" t="s">
        <v>2640</v>
      </c>
      <c r="G54" s="3095" t="s">
        <v>2641</v>
      </c>
    </row>
    <row r="55" spans="1:7" ht="19.5" customHeight="1">
      <c r="A55" s="3121"/>
      <c r="B55" s="3095" t="s">
        <v>2608</v>
      </c>
      <c r="C55" s="3095" t="s">
        <v>2608</v>
      </c>
      <c r="D55" s="3095" t="s">
        <v>2608</v>
      </c>
      <c r="E55" s="3092" t="s">
        <v>2609</v>
      </c>
      <c r="F55" s="3092" t="s">
        <v>2611</v>
      </c>
      <c r="G55" s="3092" t="s">
        <v>2642</v>
      </c>
    </row>
    <row r="56" spans="1:7" ht="19.5" customHeight="1">
      <c r="A56" s="3122"/>
      <c r="B56" s="3092">
        <v>1</v>
      </c>
      <c r="C56" s="3092">
        <v>2</v>
      </c>
      <c r="D56" s="3092">
        <v>3</v>
      </c>
      <c r="E56" s="3123" t="s">
        <v>2643</v>
      </c>
      <c r="F56" s="3123" t="s">
        <v>2643</v>
      </c>
      <c r="G56" s="3123" t="s">
        <v>2643</v>
      </c>
    </row>
    <row r="57" spans="1:7" ht="19.5" customHeight="1">
      <c r="A57" s="3124" t="s">
        <v>2596</v>
      </c>
      <c r="B57" s="3092">
        <v>0.7</v>
      </c>
      <c r="C57" s="3092">
        <v>0.4</v>
      </c>
      <c r="D57" s="3092">
        <v>0.3</v>
      </c>
      <c r="E57" s="3123">
        <v>0.3</v>
      </c>
      <c r="F57" s="3092">
        <v>0.3</v>
      </c>
      <c r="G57" s="3092">
        <v>0.2</v>
      </c>
    </row>
    <row r="58" spans="1:7" ht="19.5" customHeight="1">
      <c r="A58" s="3124" t="s">
        <v>2597</v>
      </c>
      <c r="B58" s="3092">
        <v>0.7</v>
      </c>
      <c r="C58" s="3092">
        <v>0.4</v>
      </c>
      <c r="D58" s="3092">
        <v>0.3</v>
      </c>
      <c r="E58" s="3092">
        <v>0.3</v>
      </c>
      <c r="F58" s="3092">
        <v>0.3</v>
      </c>
      <c r="G58" s="3092">
        <v>0.2</v>
      </c>
    </row>
    <row r="59" spans="1:7" ht="19.5" customHeight="1">
      <c r="A59" s="3124" t="s">
        <v>2598</v>
      </c>
      <c r="B59" s="3092">
        <v>0.6</v>
      </c>
      <c r="C59" s="3092">
        <v>0.3</v>
      </c>
      <c r="D59" s="3092">
        <v>0.25</v>
      </c>
      <c r="E59" s="3092">
        <v>0.25</v>
      </c>
      <c r="F59" s="3092">
        <v>0.25</v>
      </c>
      <c r="G59" s="3092">
        <v>0.15</v>
      </c>
    </row>
    <row r="60" spans="1:7" ht="19.5" customHeight="1">
      <c r="A60" s="3124" t="s">
        <v>2599</v>
      </c>
      <c r="B60" s="3092">
        <v>0.6</v>
      </c>
      <c r="C60" s="3092">
        <v>0.3</v>
      </c>
      <c r="D60" s="3092">
        <v>0.25</v>
      </c>
      <c r="E60" s="3092">
        <v>0.25</v>
      </c>
      <c r="F60" s="3092">
        <v>0.25</v>
      </c>
      <c r="G60" s="3092">
        <v>0.15</v>
      </c>
    </row>
    <row r="61" spans="1:7" ht="19.5" customHeight="1">
      <c r="A61" s="3124" t="s">
        <v>2600</v>
      </c>
      <c r="B61" s="3092">
        <v>0.6</v>
      </c>
      <c r="C61" s="3092">
        <v>0.3</v>
      </c>
      <c r="D61" s="3092">
        <v>0.25</v>
      </c>
      <c r="E61" s="3092">
        <v>0.25</v>
      </c>
      <c r="F61" s="3092">
        <v>0.25</v>
      </c>
      <c r="G61" s="3092">
        <v>0.15</v>
      </c>
    </row>
    <row r="62" spans="1:7" ht="19.5" customHeight="1">
      <c r="A62" s="3124" t="s">
        <v>2601</v>
      </c>
      <c r="B62" s="3092">
        <v>0.6</v>
      </c>
      <c r="C62" s="3092">
        <v>0.3</v>
      </c>
      <c r="D62" s="3092">
        <v>0.25</v>
      </c>
      <c r="E62" s="3092">
        <v>0.25</v>
      </c>
      <c r="F62" s="3092">
        <v>0.25</v>
      </c>
      <c r="G62" s="3092">
        <v>0.15</v>
      </c>
    </row>
    <row r="63" spans="1:7" ht="19.5" customHeight="1">
      <c r="A63" s="3124" t="s">
        <v>2602</v>
      </c>
      <c r="B63" s="3092">
        <v>0.6</v>
      </c>
      <c r="C63" s="3092">
        <v>0.3</v>
      </c>
      <c r="D63" s="3092">
        <v>0.25</v>
      </c>
      <c r="E63" s="3092">
        <v>0.25</v>
      </c>
      <c r="F63" s="3092">
        <v>0.25</v>
      </c>
      <c r="G63" s="3092">
        <v>0.15</v>
      </c>
    </row>
    <row r="64" spans="1:7" ht="19.5" customHeight="1">
      <c r="A64" s="3124" t="s">
        <v>2603</v>
      </c>
      <c r="B64" s="3092">
        <v>0.5</v>
      </c>
      <c r="C64" s="3092">
        <v>0.2</v>
      </c>
      <c r="D64" s="3092">
        <v>0.2</v>
      </c>
      <c r="E64" s="3092">
        <v>0.2</v>
      </c>
      <c r="F64" s="3092">
        <v>0.2</v>
      </c>
      <c r="G64" s="3092">
        <v>0.1</v>
      </c>
    </row>
    <row r="65" spans="1:7" ht="19.5" customHeight="1">
      <c r="A65" s="3124" t="s">
        <v>2604</v>
      </c>
      <c r="B65" s="3092">
        <v>0.5</v>
      </c>
      <c r="C65" s="3092">
        <v>0.2</v>
      </c>
      <c r="D65" s="3092">
        <v>0.2</v>
      </c>
      <c r="E65" s="3092">
        <v>0.2</v>
      </c>
      <c r="F65" s="3092">
        <v>0.2</v>
      </c>
      <c r="G65" s="3092">
        <v>0.1</v>
      </c>
    </row>
    <row r="66" spans="1:7" ht="19.5" customHeight="1">
      <c r="A66" s="3124" t="s">
        <v>2605</v>
      </c>
      <c r="B66" s="3092">
        <v>0.5</v>
      </c>
      <c r="C66" s="3092">
        <v>0.2</v>
      </c>
      <c r="D66" s="3092">
        <v>0.2</v>
      </c>
      <c r="E66" s="3092">
        <v>0.2</v>
      </c>
      <c r="F66" s="3092">
        <v>0.2</v>
      </c>
      <c r="G66" s="3092">
        <v>0.1</v>
      </c>
    </row>
    <row r="67" spans="1:7" ht="19.5" customHeight="1">
      <c r="A67" s="3124" t="s">
        <v>2606</v>
      </c>
      <c r="B67" s="3092">
        <v>0.5</v>
      </c>
      <c r="C67" s="3092">
        <v>0.2</v>
      </c>
      <c r="D67" s="3092">
        <v>0.2</v>
      </c>
      <c r="E67" s="3092">
        <v>0.2</v>
      </c>
      <c r="F67" s="3092">
        <v>0.2</v>
      </c>
      <c r="G67" s="3092">
        <v>0.1</v>
      </c>
    </row>
    <row r="68" spans="1:7" ht="19.5" customHeight="1">
      <c r="A68" s="3124" t="s">
        <v>2607</v>
      </c>
      <c r="B68" s="3092">
        <v>0.5</v>
      </c>
      <c r="C68" s="3092">
        <v>0.2</v>
      </c>
      <c r="D68" s="3092">
        <v>0.2</v>
      </c>
      <c r="E68" s="3092">
        <v>0.2</v>
      </c>
      <c r="F68" s="3092">
        <v>0.2</v>
      </c>
      <c r="G68" s="3092">
        <v>0.1</v>
      </c>
    </row>
    <row r="70" spans="1:7" ht="19.5" customHeight="1">
      <c r="A70" s="3125"/>
      <c r="B70" s="3126"/>
      <c r="C70" s="3126"/>
      <c r="D70" s="3126" t="s">
        <v>2644</v>
      </c>
      <c r="E70" s="3126"/>
      <c r="F70" s="3126"/>
    </row>
    <row r="71" spans="1:7" ht="19.5" customHeight="1">
      <c r="A71" s="3118" t="s">
        <v>2645</v>
      </c>
      <c r="B71" s="3118" t="s">
        <v>2646</v>
      </c>
      <c r="C71" s="3118" t="s">
        <v>2647</v>
      </c>
      <c r="D71" s="3118" t="s">
        <v>2648</v>
      </c>
      <c r="E71" s="3118" t="s">
        <v>2649</v>
      </c>
      <c r="F71" s="3118" t="s">
        <v>2650</v>
      </c>
    </row>
    <row r="72" spans="1:7" ht="13.5">
      <c r="A72" s="3118"/>
      <c r="B72" s="3118"/>
      <c r="C72" s="3118" t="s">
        <v>2651</v>
      </c>
      <c r="D72" s="3118"/>
      <c r="E72" s="3118" t="s">
        <v>2622</v>
      </c>
      <c r="F72" s="3118" t="s">
        <v>2622</v>
      </c>
    </row>
    <row r="73" spans="1:7" ht="13.5">
      <c r="A73" s="3118">
        <v>1</v>
      </c>
      <c r="B73" s="3977" t="s">
        <v>2652</v>
      </c>
      <c r="C73" s="3092" t="s">
        <v>2653</v>
      </c>
      <c r="D73" s="3092" t="s">
        <v>2654</v>
      </c>
      <c r="E73" s="3118">
        <v>0.2</v>
      </c>
      <c r="F73" s="3118">
        <v>25</v>
      </c>
    </row>
    <row r="74" spans="1:7" ht="24">
      <c r="A74" s="3118">
        <v>2</v>
      </c>
      <c r="B74" s="3979"/>
      <c r="C74" s="3092" t="s">
        <v>2655</v>
      </c>
      <c r="D74" s="3092" t="s">
        <v>2656</v>
      </c>
      <c r="E74" s="3118">
        <v>0.2</v>
      </c>
      <c r="F74" s="3118">
        <v>25</v>
      </c>
    </row>
    <row r="75" spans="1:7" ht="24">
      <c r="A75" s="3118">
        <v>3</v>
      </c>
      <c r="B75" s="3979"/>
      <c r="C75" s="3092" t="s">
        <v>2657</v>
      </c>
      <c r="D75" s="3092" t="s">
        <v>2658</v>
      </c>
      <c r="E75" s="3118">
        <v>0.2</v>
      </c>
      <c r="F75" s="3118">
        <v>25</v>
      </c>
    </row>
    <row r="76" spans="1:7" ht="13.5">
      <c r="A76" s="3118">
        <v>4</v>
      </c>
      <c r="B76" s="3979"/>
      <c r="C76" s="3092" t="s">
        <v>2659</v>
      </c>
      <c r="D76" s="3092" t="s">
        <v>2660</v>
      </c>
      <c r="E76" s="3118">
        <v>0.15</v>
      </c>
      <c r="F76" s="3118">
        <v>20</v>
      </c>
    </row>
    <row r="77" spans="1:7" ht="24">
      <c r="A77" s="3118">
        <v>5</v>
      </c>
      <c r="B77" s="3979"/>
      <c r="C77" s="3092" t="s">
        <v>2661</v>
      </c>
      <c r="D77" s="3092" t="s">
        <v>2662</v>
      </c>
      <c r="E77" s="3118">
        <v>0.15</v>
      </c>
      <c r="F77" s="3118">
        <v>20</v>
      </c>
    </row>
    <row r="78" spans="1:7" ht="24">
      <c r="A78" s="3118">
        <v>6</v>
      </c>
      <c r="B78" s="3979"/>
      <c r="C78" s="3092" t="s">
        <v>2663</v>
      </c>
      <c r="D78" s="3092" t="s">
        <v>2664</v>
      </c>
      <c r="E78" s="3118">
        <v>0.15</v>
      </c>
      <c r="F78" s="3118">
        <v>20</v>
      </c>
    </row>
    <row r="79" spans="1:7" ht="24">
      <c r="A79" s="3118">
        <v>7</v>
      </c>
      <c r="B79" s="3979"/>
      <c r="C79" s="3092" t="s">
        <v>2665</v>
      </c>
      <c r="D79" s="3092" t="s">
        <v>2666</v>
      </c>
      <c r="E79" s="3118">
        <v>0.15</v>
      </c>
      <c r="F79" s="3118">
        <v>20</v>
      </c>
    </row>
    <row r="80" spans="1:7" ht="24">
      <c r="A80" s="3118">
        <v>8</v>
      </c>
      <c r="B80" s="3979"/>
      <c r="C80" s="3092" t="s">
        <v>2667</v>
      </c>
      <c r="D80" s="3092" t="s">
        <v>2668</v>
      </c>
      <c r="E80" s="3118">
        <v>0.1</v>
      </c>
      <c r="F80" s="3118">
        <v>15</v>
      </c>
    </row>
    <row r="81" spans="1:6" ht="24">
      <c r="A81" s="3118">
        <v>9</v>
      </c>
      <c r="B81" s="3979"/>
      <c r="C81" s="3092" t="s">
        <v>2669</v>
      </c>
      <c r="D81" s="3092" t="s">
        <v>2670</v>
      </c>
      <c r="E81" s="3118">
        <v>0.1</v>
      </c>
      <c r="F81" s="3118">
        <v>15</v>
      </c>
    </row>
    <row r="82" spans="1:6" ht="24">
      <c r="A82" s="3118">
        <v>10</v>
      </c>
      <c r="B82" s="3979"/>
      <c r="C82" s="3092" t="s">
        <v>2671</v>
      </c>
      <c r="D82" s="3092" t="s">
        <v>2672</v>
      </c>
      <c r="E82" s="3118">
        <v>0.1</v>
      </c>
      <c r="F82" s="3118">
        <v>15</v>
      </c>
    </row>
    <row r="83" spans="1:6" ht="24">
      <c r="A83" s="3118">
        <v>11</v>
      </c>
      <c r="B83" s="3979"/>
      <c r="C83" s="3092" t="s">
        <v>2673</v>
      </c>
      <c r="D83" s="3092" t="s">
        <v>2674</v>
      </c>
      <c r="E83" s="3118">
        <v>0.1</v>
      </c>
      <c r="F83" s="3118">
        <v>15</v>
      </c>
    </row>
    <row r="84" spans="1:6" ht="24">
      <c r="A84" s="3118">
        <v>12</v>
      </c>
      <c r="B84" s="3979"/>
      <c r="C84" s="3092" t="s">
        <v>2675</v>
      </c>
      <c r="D84" s="3092" t="s">
        <v>2676</v>
      </c>
      <c r="E84" s="3118">
        <v>0.1</v>
      </c>
      <c r="F84" s="3118">
        <v>15</v>
      </c>
    </row>
    <row r="85" spans="1:6" ht="13.5">
      <c r="A85" s="3118">
        <v>13</v>
      </c>
      <c r="B85" s="3979"/>
      <c r="C85" s="3092" t="s">
        <v>2677</v>
      </c>
      <c r="D85" s="3092" t="s">
        <v>2678</v>
      </c>
      <c r="E85" s="3118">
        <v>0.1</v>
      </c>
      <c r="F85" s="3118">
        <v>15</v>
      </c>
    </row>
    <row r="86" spans="1:6" ht="13.5">
      <c r="A86" s="3118">
        <v>14</v>
      </c>
      <c r="B86" s="3979"/>
      <c r="C86" s="3092" t="s">
        <v>2679</v>
      </c>
      <c r="D86" s="3092" t="s">
        <v>2680</v>
      </c>
      <c r="E86" s="3118">
        <v>0.1</v>
      </c>
      <c r="F86" s="3118">
        <v>15</v>
      </c>
    </row>
    <row r="87" spans="1:6" ht="13.5">
      <c r="A87" s="3118">
        <v>15</v>
      </c>
      <c r="B87" s="3979"/>
      <c r="C87" s="3092" t="s">
        <v>2681</v>
      </c>
      <c r="D87" s="3092" t="s">
        <v>2682</v>
      </c>
      <c r="E87" s="3118">
        <v>0.1</v>
      </c>
      <c r="F87" s="3118">
        <v>15</v>
      </c>
    </row>
    <row r="88" spans="1:6" ht="24">
      <c r="A88" s="3118">
        <v>16</v>
      </c>
      <c r="B88" s="3979"/>
      <c r="C88" s="3092" t="s">
        <v>2683</v>
      </c>
      <c r="D88" s="3092" t="s">
        <v>2684</v>
      </c>
      <c r="E88" s="3118">
        <v>0.1</v>
      </c>
      <c r="F88" s="3118">
        <v>15</v>
      </c>
    </row>
    <row r="89" spans="1:6" ht="24">
      <c r="A89" s="3118">
        <v>17</v>
      </c>
      <c r="B89" s="3978"/>
      <c r="C89" s="3092" t="s">
        <v>2685</v>
      </c>
      <c r="D89" s="3092" t="s">
        <v>2686</v>
      </c>
      <c r="E89" s="3118">
        <v>0.1</v>
      </c>
      <c r="F89" s="3118">
        <v>15</v>
      </c>
    </row>
    <row r="90" spans="1:6" ht="13.5">
      <c r="A90" s="3118">
        <v>18</v>
      </c>
      <c r="B90" s="3977" t="s">
        <v>2687</v>
      </c>
      <c r="C90" s="3092" t="s">
        <v>2688</v>
      </c>
      <c r="D90" s="3092" t="s">
        <v>2689</v>
      </c>
      <c r="E90" s="3118">
        <v>0.2</v>
      </c>
      <c r="F90" s="3118">
        <v>25</v>
      </c>
    </row>
    <row r="91" spans="1:6" ht="24">
      <c r="A91" s="3118">
        <v>19</v>
      </c>
      <c r="B91" s="3979"/>
      <c r="C91" s="3092" t="s">
        <v>2690</v>
      </c>
      <c r="D91" s="3092" t="s">
        <v>2691</v>
      </c>
      <c r="E91" s="3118">
        <v>0.2</v>
      </c>
      <c r="F91" s="3118">
        <v>25</v>
      </c>
    </row>
    <row r="92" spans="1:6" ht="13.5">
      <c r="A92" s="3118">
        <v>20</v>
      </c>
      <c r="B92" s="3979"/>
      <c r="C92" s="3092" t="s">
        <v>2692</v>
      </c>
      <c r="D92" s="3092" t="s">
        <v>2693</v>
      </c>
      <c r="E92" s="3118">
        <v>0.15</v>
      </c>
      <c r="F92" s="3118">
        <v>20</v>
      </c>
    </row>
    <row r="93" spans="1:6" ht="13.5">
      <c r="A93" s="3118">
        <v>21</v>
      </c>
      <c r="B93" s="3979"/>
      <c r="C93" s="3092" t="s">
        <v>2694</v>
      </c>
      <c r="D93" s="3092" t="s">
        <v>2695</v>
      </c>
      <c r="E93" s="3118">
        <v>0.15</v>
      </c>
      <c r="F93" s="3118">
        <v>20</v>
      </c>
    </row>
    <row r="94" spans="1:6" ht="13.5">
      <c r="A94" s="3118">
        <v>22</v>
      </c>
      <c r="B94" s="3979"/>
      <c r="C94" s="3092" t="s">
        <v>2696</v>
      </c>
      <c r="D94" s="3092" t="s">
        <v>2697</v>
      </c>
      <c r="E94" s="3118">
        <v>0.15</v>
      </c>
      <c r="F94" s="3118">
        <v>20</v>
      </c>
    </row>
    <row r="95" spans="1:6" ht="36">
      <c r="A95" s="3118">
        <v>23</v>
      </c>
      <c r="B95" s="3979"/>
      <c r="C95" s="3092" t="s">
        <v>2698</v>
      </c>
      <c r="D95" s="3092" t="s">
        <v>2699</v>
      </c>
      <c r="E95" s="3118">
        <v>0.15</v>
      </c>
      <c r="F95" s="3118">
        <v>20</v>
      </c>
    </row>
    <row r="96" spans="1:6" ht="13.5">
      <c r="A96" s="3118">
        <v>24</v>
      </c>
      <c r="B96" s="3979"/>
      <c r="C96" s="3092" t="s">
        <v>2700</v>
      </c>
      <c r="D96" s="3092" t="s">
        <v>2701</v>
      </c>
      <c r="E96" s="3118">
        <v>0.1</v>
      </c>
      <c r="F96" s="3118">
        <v>15</v>
      </c>
    </row>
    <row r="97" spans="1:6" ht="13.5">
      <c r="A97" s="3118">
        <v>25</v>
      </c>
      <c r="B97" s="3979"/>
      <c r="C97" s="3092" t="s">
        <v>2702</v>
      </c>
      <c r="D97" s="3092" t="s">
        <v>2703</v>
      </c>
      <c r="E97" s="3118">
        <v>0.1</v>
      </c>
      <c r="F97" s="3118">
        <v>15</v>
      </c>
    </row>
    <row r="98" spans="1:6" ht="24">
      <c r="A98" s="3118">
        <v>26</v>
      </c>
      <c r="B98" s="3979"/>
      <c r="C98" s="3092" t="s">
        <v>2704</v>
      </c>
      <c r="D98" s="3092" t="s">
        <v>2705</v>
      </c>
      <c r="E98" s="3118">
        <v>0.1</v>
      </c>
      <c r="F98" s="3118">
        <v>15</v>
      </c>
    </row>
    <row r="99" spans="1:6" ht="24">
      <c r="A99" s="3118">
        <v>27</v>
      </c>
      <c r="B99" s="3979"/>
      <c r="C99" s="3092" t="s">
        <v>2706</v>
      </c>
      <c r="D99" s="3092" t="s">
        <v>2707</v>
      </c>
      <c r="E99" s="3118">
        <v>0.1</v>
      </c>
      <c r="F99" s="3118">
        <v>15</v>
      </c>
    </row>
    <row r="100" spans="1:6" ht="13.5">
      <c r="A100" s="3118">
        <v>28</v>
      </c>
      <c r="B100" s="3979"/>
      <c r="C100" s="3092" t="s">
        <v>2708</v>
      </c>
      <c r="D100" s="3092" t="s">
        <v>2709</v>
      </c>
      <c r="E100" s="3118">
        <v>0.1</v>
      </c>
      <c r="F100" s="3118">
        <v>15</v>
      </c>
    </row>
    <row r="101" spans="1:6" ht="13.5">
      <c r="A101" s="3118">
        <v>29</v>
      </c>
      <c r="B101" s="3979"/>
      <c r="C101" s="3092" t="s">
        <v>2710</v>
      </c>
      <c r="D101" s="3092" t="s">
        <v>2711</v>
      </c>
      <c r="E101" s="3118">
        <v>0.1</v>
      </c>
      <c r="F101" s="3118">
        <v>15</v>
      </c>
    </row>
    <row r="102" spans="1:6" ht="13.5">
      <c r="A102" s="3118">
        <v>30</v>
      </c>
      <c r="B102" s="3979"/>
      <c r="C102" s="3092" t="s">
        <v>2712</v>
      </c>
      <c r="D102" s="3092" t="s">
        <v>2713</v>
      </c>
      <c r="E102" s="3118">
        <v>0.1</v>
      </c>
      <c r="F102" s="3118">
        <v>15</v>
      </c>
    </row>
    <row r="103" spans="1:6" ht="24">
      <c r="A103" s="3118">
        <v>31</v>
      </c>
      <c r="B103" s="3979"/>
      <c r="C103" s="3092" t="s">
        <v>2714</v>
      </c>
      <c r="D103" s="3092" t="s">
        <v>2715</v>
      </c>
      <c r="E103" s="3118">
        <v>0.1</v>
      </c>
      <c r="F103" s="3118">
        <v>15</v>
      </c>
    </row>
    <row r="104" spans="1:6" ht="24">
      <c r="A104" s="3118">
        <v>32</v>
      </c>
      <c r="B104" s="3979"/>
      <c r="C104" s="3092" t="s">
        <v>2716</v>
      </c>
      <c r="D104" s="3092" t="s">
        <v>2717</v>
      </c>
      <c r="E104" s="3118">
        <v>0.1</v>
      </c>
      <c r="F104" s="3118">
        <v>15</v>
      </c>
    </row>
    <row r="105" spans="1:6" ht="24">
      <c r="A105" s="3118">
        <v>33</v>
      </c>
      <c r="B105" s="3979"/>
      <c r="C105" s="3092" t="s">
        <v>2718</v>
      </c>
      <c r="D105" s="3092" t="s">
        <v>2719</v>
      </c>
      <c r="E105" s="3118">
        <v>0.1</v>
      </c>
      <c r="F105" s="3118">
        <v>15</v>
      </c>
    </row>
    <row r="106" spans="1:6" ht="24">
      <c r="A106" s="3118">
        <v>34</v>
      </c>
      <c r="B106" s="3978"/>
      <c r="C106" s="3092" t="s">
        <v>2720</v>
      </c>
      <c r="D106" s="3092" t="s">
        <v>2721</v>
      </c>
      <c r="E106" s="3118">
        <v>0.1</v>
      </c>
      <c r="F106" s="3118">
        <v>15</v>
      </c>
    </row>
    <row r="107" spans="1:6" ht="24">
      <c r="A107" s="3118">
        <v>35</v>
      </c>
      <c r="B107" s="3977" t="s">
        <v>2722</v>
      </c>
      <c r="C107" s="3118" t="s">
        <v>2723</v>
      </c>
      <c r="D107" s="3092" t="s">
        <v>2724</v>
      </c>
      <c r="E107" s="3118">
        <v>0.15</v>
      </c>
      <c r="F107" s="3118">
        <v>20</v>
      </c>
    </row>
    <row r="108" spans="1:6" ht="13.5">
      <c r="A108" s="3118">
        <v>36</v>
      </c>
      <c r="B108" s="3979"/>
      <c r="C108" s="3118" t="s">
        <v>2725</v>
      </c>
      <c r="D108" s="3092" t="s">
        <v>2726</v>
      </c>
      <c r="E108" s="3118">
        <v>0.15</v>
      </c>
      <c r="F108" s="3118">
        <v>20</v>
      </c>
    </row>
    <row r="109" spans="1:6" ht="13.5">
      <c r="A109" s="3118">
        <v>37</v>
      </c>
      <c r="B109" s="3979"/>
      <c r="C109" s="3118" t="s">
        <v>2727</v>
      </c>
      <c r="D109" s="3092" t="s">
        <v>2728</v>
      </c>
      <c r="E109" s="3118">
        <v>0.15</v>
      </c>
      <c r="F109" s="3118">
        <v>20</v>
      </c>
    </row>
    <row r="110" spans="1:6" ht="13.5">
      <c r="A110" s="3118">
        <v>38</v>
      </c>
      <c r="B110" s="3979"/>
      <c r="C110" s="3118" t="s">
        <v>2729</v>
      </c>
      <c r="D110" s="3092" t="s">
        <v>2730</v>
      </c>
      <c r="E110" s="3118">
        <v>0.1</v>
      </c>
      <c r="F110" s="3118">
        <v>15</v>
      </c>
    </row>
    <row r="111" spans="1:6" ht="24">
      <c r="A111" s="3118">
        <v>39</v>
      </c>
      <c r="B111" s="3979"/>
      <c r="C111" s="3118" t="s">
        <v>2731</v>
      </c>
      <c r="D111" s="3092" t="s">
        <v>2732</v>
      </c>
      <c r="E111" s="3118">
        <v>0.1</v>
      </c>
      <c r="F111" s="3118">
        <v>15</v>
      </c>
    </row>
    <row r="112" spans="1:6" ht="24">
      <c r="A112" s="3118">
        <v>40</v>
      </c>
      <c r="B112" s="3978"/>
      <c r="C112" s="3118" t="s">
        <v>2733</v>
      </c>
      <c r="D112" s="3092" t="s">
        <v>2734</v>
      </c>
      <c r="E112" s="3118">
        <v>0.1</v>
      </c>
      <c r="F112" s="3118">
        <v>15</v>
      </c>
    </row>
    <row r="113" spans="1:6" ht="13.5">
      <c r="A113" s="3118">
        <v>41</v>
      </c>
      <c r="B113" s="3976" t="s">
        <v>2735</v>
      </c>
      <c r="C113" s="3118" t="s">
        <v>2736</v>
      </c>
      <c r="D113" s="3092" t="s">
        <v>2737</v>
      </c>
      <c r="E113" s="3118">
        <v>0.1</v>
      </c>
      <c r="F113" s="3118">
        <v>15</v>
      </c>
    </row>
    <row r="114" spans="1:6" ht="13.5">
      <c r="A114" s="3118">
        <v>42</v>
      </c>
      <c r="B114" s="3976"/>
      <c r="C114" s="3118" t="s">
        <v>2738</v>
      </c>
      <c r="D114" s="3092" t="s">
        <v>2739</v>
      </c>
      <c r="E114" s="3118">
        <v>0.1</v>
      </c>
      <c r="F114" s="3118">
        <v>15</v>
      </c>
    </row>
    <row r="115" spans="1:6" ht="24">
      <c r="A115" s="3118">
        <v>43</v>
      </c>
      <c r="B115" s="3976"/>
      <c r="C115" s="3118" t="s">
        <v>2740</v>
      </c>
      <c r="D115" s="3092" t="s">
        <v>2741</v>
      </c>
      <c r="E115" s="3118">
        <v>0.1</v>
      </c>
      <c r="F115" s="3118">
        <v>15</v>
      </c>
    </row>
    <row r="116" spans="1:6" ht="13.5">
      <c r="A116" s="3118">
        <v>44</v>
      </c>
      <c r="B116" s="3977" t="s">
        <v>2742</v>
      </c>
      <c r="C116" s="3118" t="s">
        <v>2743</v>
      </c>
      <c r="D116" s="3092" t="s">
        <v>2744</v>
      </c>
      <c r="E116" s="3118">
        <v>0.1</v>
      </c>
      <c r="F116" s="3118">
        <v>15</v>
      </c>
    </row>
    <row r="117" spans="1:6" ht="24">
      <c r="A117" s="3118">
        <v>45</v>
      </c>
      <c r="B117" s="3978"/>
      <c r="C117" s="3092" t="s">
        <v>2745</v>
      </c>
      <c r="D117" s="3092" t="s">
        <v>2746</v>
      </c>
      <c r="E117" s="3118">
        <v>0.1</v>
      </c>
      <c r="F117" s="3118">
        <v>15</v>
      </c>
    </row>
    <row r="118" spans="1:6" ht="24">
      <c r="A118" s="3118">
        <v>46</v>
      </c>
      <c r="B118" s="3977" t="s">
        <v>2747</v>
      </c>
      <c r="C118" s="3118" t="s">
        <v>2748</v>
      </c>
      <c r="D118" s="3092" t="s">
        <v>2749</v>
      </c>
      <c r="E118" s="3118">
        <v>0.1</v>
      </c>
      <c r="F118" s="3118">
        <v>15</v>
      </c>
    </row>
    <row r="119" spans="1:6" ht="24">
      <c r="A119" s="3118">
        <v>47</v>
      </c>
      <c r="B119" s="3978"/>
      <c r="C119" s="3118" t="s">
        <v>2750</v>
      </c>
      <c r="D119" s="3092" t="s">
        <v>2751</v>
      </c>
      <c r="E119" s="3118">
        <v>0.1</v>
      </c>
      <c r="F119" s="3118">
        <v>15</v>
      </c>
    </row>
    <row r="120" spans="1:6" ht="13.5">
      <c r="A120" s="3118">
        <v>48</v>
      </c>
      <c r="B120" s="3977" t="s">
        <v>2752</v>
      </c>
      <c r="C120" s="3118" t="s">
        <v>2753</v>
      </c>
      <c r="D120" s="3092" t="s">
        <v>2754</v>
      </c>
      <c r="E120" s="3118">
        <v>0.1</v>
      </c>
      <c r="F120" s="3118">
        <v>15</v>
      </c>
    </row>
    <row r="121" spans="1:6" ht="13.5">
      <c r="A121" s="3118">
        <v>49</v>
      </c>
      <c r="B121" s="3978"/>
      <c r="C121" s="3118" t="s">
        <v>2755</v>
      </c>
      <c r="D121" s="3092" t="s">
        <v>2756</v>
      </c>
      <c r="E121" s="3118">
        <v>0.1</v>
      </c>
      <c r="F121" s="3118">
        <v>15</v>
      </c>
    </row>
    <row r="122" spans="1:6" ht="24">
      <c r="A122" s="3118">
        <v>50</v>
      </c>
      <c r="B122" s="3976" t="s">
        <v>2757</v>
      </c>
      <c r="C122" s="3118" t="s">
        <v>2758</v>
      </c>
      <c r="D122" s="3092" t="s">
        <v>2759</v>
      </c>
      <c r="E122" s="3118">
        <v>0.1</v>
      </c>
      <c r="F122" s="3118">
        <v>15</v>
      </c>
    </row>
    <row r="123" spans="1:6" ht="24">
      <c r="A123" s="3118">
        <v>51</v>
      </c>
      <c r="B123" s="3976"/>
      <c r="C123" s="3118" t="s">
        <v>2760</v>
      </c>
      <c r="D123" s="3092" t="s">
        <v>2761</v>
      </c>
      <c r="E123" s="3118">
        <v>0.1</v>
      </c>
      <c r="F123" s="3118">
        <v>15</v>
      </c>
    </row>
    <row r="124" spans="1:6" ht="24">
      <c r="A124" s="3118">
        <v>52</v>
      </c>
      <c r="B124" s="3976" t="s">
        <v>2762</v>
      </c>
      <c r="C124" s="3118" t="s">
        <v>2763</v>
      </c>
      <c r="D124" s="3092" t="s">
        <v>2764</v>
      </c>
      <c r="E124" s="3118">
        <v>0.1</v>
      </c>
      <c r="F124" s="3118">
        <v>15</v>
      </c>
    </row>
    <row r="125" spans="1:6" ht="24">
      <c r="A125" s="3118">
        <v>53</v>
      </c>
      <c r="B125" s="3976"/>
      <c r="C125" s="3118" t="s">
        <v>2765</v>
      </c>
      <c r="D125" s="3092" t="s">
        <v>2766</v>
      </c>
      <c r="E125" s="3118">
        <v>0.1</v>
      </c>
      <c r="F125" s="3118">
        <v>15</v>
      </c>
    </row>
    <row r="126" spans="1:6" ht="13.5">
      <c r="A126" s="3118">
        <v>54</v>
      </c>
      <c r="B126" s="3118" t="s">
        <v>2767</v>
      </c>
      <c r="C126" s="3118" t="s">
        <v>2768</v>
      </c>
      <c r="D126" s="3092" t="s">
        <v>2769</v>
      </c>
      <c r="E126" s="3118">
        <v>0.1</v>
      </c>
      <c r="F126" s="3118">
        <v>15</v>
      </c>
    </row>
    <row r="127" spans="1:6" ht="13.5">
      <c r="A127" s="3118">
        <v>55</v>
      </c>
      <c r="B127" s="3976" t="s">
        <v>2770</v>
      </c>
      <c r="C127" s="3118" t="s">
        <v>2771</v>
      </c>
      <c r="D127" s="3092" t="s">
        <v>2772</v>
      </c>
      <c r="E127" s="3118">
        <v>0.1</v>
      </c>
      <c r="F127" s="3118">
        <v>15</v>
      </c>
    </row>
    <row r="128" spans="1:6" ht="13.5">
      <c r="A128" s="3118">
        <v>56</v>
      </c>
      <c r="B128" s="3976"/>
      <c r="C128" s="3118" t="s">
        <v>2773</v>
      </c>
      <c r="D128" s="3092" t="s">
        <v>2774</v>
      </c>
      <c r="E128" s="3118">
        <v>0.1</v>
      </c>
      <c r="F128" s="3118">
        <v>15</v>
      </c>
    </row>
    <row r="129" spans="1:6" ht="24">
      <c r="A129" s="3118">
        <v>57</v>
      </c>
      <c r="B129" s="3976"/>
      <c r="C129" s="3118" t="s">
        <v>2775</v>
      </c>
      <c r="D129" s="3092" t="s">
        <v>2776</v>
      </c>
      <c r="E129" s="3118">
        <v>0.1</v>
      </c>
      <c r="F129" s="3118">
        <v>15</v>
      </c>
    </row>
    <row r="130" spans="1:6" ht="24">
      <c r="A130" s="3118">
        <v>58</v>
      </c>
      <c r="B130" s="3976" t="s">
        <v>2777</v>
      </c>
      <c r="C130" s="3118" t="s">
        <v>2778</v>
      </c>
      <c r="D130" s="3092" t="s">
        <v>2779</v>
      </c>
      <c r="E130" s="3118">
        <v>0.1</v>
      </c>
      <c r="F130" s="3118">
        <v>15</v>
      </c>
    </row>
    <row r="131" spans="1:6" ht="13.5">
      <c r="A131" s="3118">
        <v>59</v>
      </c>
      <c r="B131" s="3976"/>
      <c r="C131" s="3118" t="s">
        <v>2780</v>
      </c>
      <c r="D131" s="3092" t="s">
        <v>2781</v>
      </c>
      <c r="E131" s="3118">
        <v>0.1</v>
      </c>
      <c r="F131" s="3118">
        <v>15</v>
      </c>
    </row>
    <row r="132" spans="1:6" ht="13.5">
      <c r="A132" s="3118">
        <v>60</v>
      </c>
      <c r="B132" s="3977" t="s">
        <v>2782</v>
      </c>
      <c r="C132" s="3118" t="s">
        <v>2783</v>
      </c>
      <c r="D132" s="3092" t="s">
        <v>2784</v>
      </c>
      <c r="E132" s="3118">
        <v>0.1</v>
      </c>
      <c r="F132" s="3118">
        <v>15</v>
      </c>
    </row>
    <row r="133" spans="1:6" ht="13.5">
      <c r="A133" s="3118">
        <v>61</v>
      </c>
      <c r="B133" s="3978"/>
      <c r="C133" s="3118" t="s">
        <v>2785</v>
      </c>
      <c r="D133" s="3092" t="s">
        <v>2786</v>
      </c>
      <c r="E133" s="3118">
        <v>0.1</v>
      </c>
      <c r="F133" s="3118">
        <v>15</v>
      </c>
    </row>
    <row r="134" spans="1:6" ht="24">
      <c r="A134" s="3118">
        <v>62</v>
      </c>
      <c r="B134" s="3118" t="s">
        <v>2787</v>
      </c>
      <c r="C134" s="3118" t="s">
        <v>2788</v>
      </c>
      <c r="D134" s="3092" t="s">
        <v>2789</v>
      </c>
      <c r="E134" s="3118">
        <v>0.1</v>
      </c>
      <c r="F134" s="3118">
        <v>15</v>
      </c>
    </row>
    <row r="135" spans="1:6" ht="13.5">
      <c r="A135" s="3118">
        <v>63</v>
      </c>
      <c r="B135" s="3976" t="s">
        <v>2790</v>
      </c>
      <c r="C135" s="3118" t="s">
        <v>2791</v>
      </c>
      <c r="D135" s="3092" t="s">
        <v>2792</v>
      </c>
      <c r="E135" s="3118">
        <v>0.1</v>
      </c>
      <c r="F135" s="3118">
        <v>15</v>
      </c>
    </row>
    <row r="136" spans="1:6" ht="13.5">
      <c r="A136" s="3118">
        <v>64</v>
      </c>
      <c r="B136" s="3976"/>
      <c r="C136" s="3118" t="s">
        <v>2793</v>
      </c>
      <c r="D136" s="3092" t="s">
        <v>2794</v>
      </c>
      <c r="E136" s="3118">
        <v>0.1</v>
      </c>
      <c r="F136" s="3118">
        <v>15</v>
      </c>
    </row>
    <row r="137" spans="1:6" ht="13.5">
      <c r="A137" s="3118">
        <v>65</v>
      </c>
      <c r="B137" s="3118" t="s">
        <v>2795</v>
      </c>
      <c r="C137" s="3118" t="s">
        <v>2796</v>
      </c>
      <c r="D137" s="3092" t="s">
        <v>2797</v>
      </c>
      <c r="E137" s="3118">
        <v>0.1</v>
      </c>
      <c r="F137" s="3118">
        <v>15</v>
      </c>
    </row>
    <row r="138" spans="1:6" ht="13.5">
      <c r="A138" s="3118"/>
      <c r="B138" s="3118"/>
      <c r="C138" s="3118"/>
      <c r="D138" s="3118"/>
      <c r="E138" s="3118" t="s">
        <v>2798</v>
      </c>
      <c r="F138" s="3118" t="s">
        <v>2798</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2799</v>
      </c>
      <c r="B1" s="3127"/>
      <c r="C1" s="3127"/>
      <c r="D1" s="3127"/>
      <c r="E1" s="3127"/>
      <c r="F1" s="3127"/>
      <c r="G1" s="3127"/>
      <c r="H1" s="3127"/>
      <c r="I1" s="3127"/>
      <c r="J1" s="3127"/>
      <c r="K1" s="3127"/>
      <c r="L1" s="3127"/>
      <c r="M1" s="3127"/>
      <c r="N1" s="749"/>
    </row>
    <row r="2" spans="1:20">
      <c r="A2" s="3128" t="s">
        <v>2800</v>
      </c>
      <c r="B2" s="3129" t="s">
        <v>2596</v>
      </c>
      <c r="C2" s="3129" t="s">
        <v>2597</v>
      </c>
      <c r="D2" s="3129" t="s">
        <v>2598</v>
      </c>
      <c r="E2" s="3129" t="s">
        <v>2599</v>
      </c>
      <c r="F2" s="3129" t="s">
        <v>2600</v>
      </c>
      <c r="G2" s="3129" t="s">
        <v>2601</v>
      </c>
      <c r="H2" s="3130" t="s">
        <v>2602</v>
      </c>
      <c r="I2" s="3130" t="s">
        <v>2603</v>
      </c>
      <c r="J2" s="3131" t="s">
        <v>2604</v>
      </c>
      <c r="K2" s="3131" t="s">
        <v>2605</v>
      </c>
      <c r="L2" s="3131" t="s">
        <v>2606</v>
      </c>
      <c r="M2" s="3132" t="s">
        <v>2607</v>
      </c>
      <c r="Q2" s="3142" t="s">
        <v>2805</v>
      </c>
      <c r="R2" s="3142" t="s">
        <v>2806</v>
      </c>
      <c r="S2" s="3142" t="s">
        <v>2807</v>
      </c>
      <c r="T2" s="3142" t="s">
        <v>2808</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2801</v>
      </c>
      <c r="B93" s="3127"/>
      <c r="C93" s="3127"/>
      <c r="D93" s="3127"/>
      <c r="E93" s="3127"/>
      <c r="F93" s="3127"/>
      <c r="G93" s="3127"/>
      <c r="H93" s="3127"/>
      <c r="I93" s="3127"/>
      <c r="J93" s="3127"/>
      <c r="K93" s="3127"/>
      <c r="L93" s="3127"/>
      <c r="M93" s="3127"/>
    </row>
    <row r="94" spans="1:20">
      <c r="A94" s="3128" t="s">
        <v>2800</v>
      </c>
      <c r="B94" s="3129" t="s">
        <v>2596</v>
      </c>
      <c r="C94" s="3129" t="s">
        <v>2597</v>
      </c>
      <c r="D94" s="3129" t="s">
        <v>2598</v>
      </c>
      <c r="E94" s="3129" t="s">
        <v>2599</v>
      </c>
      <c r="F94" s="3129" t="s">
        <v>2600</v>
      </c>
      <c r="G94" s="3129" t="s">
        <v>2601</v>
      </c>
      <c r="H94" s="3130" t="s">
        <v>2602</v>
      </c>
      <c r="I94" s="3130" t="s">
        <v>2603</v>
      </c>
      <c r="J94" s="3131" t="s">
        <v>2604</v>
      </c>
      <c r="K94" s="3131" t="s">
        <v>2605</v>
      </c>
      <c r="L94" s="3131" t="s">
        <v>2606</v>
      </c>
      <c r="M94" s="3132" t="s">
        <v>2607</v>
      </c>
      <c r="N94" s="750">
        <f>SUMPRODUCT((A95:A184=ROUNDDOWN(基准地价修正!G3,1))*(B94:M94=基准地价修正!G2)*(B95:M184))</f>
        <v>1</v>
      </c>
      <c r="Q94" s="3142" t="s">
        <v>2805</v>
      </c>
      <c r="R94" s="3142" t="s">
        <v>2806</v>
      </c>
      <c r="S94" s="3142" t="s">
        <v>2807</v>
      </c>
      <c r="T94" s="3142" t="s">
        <v>2808</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2802</v>
      </c>
      <c r="B185" s="3127"/>
      <c r="C185" s="3127"/>
      <c r="D185" s="3127"/>
      <c r="E185" s="3127"/>
      <c r="F185" s="3127"/>
      <c r="G185" s="3127"/>
      <c r="H185" s="3127"/>
      <c r="I185" s="3127"/>
      <c r="J185" s="3127"/>
      <c r="K185" s="3127"/>
      <c r="L185" s="3127"/>
      <c r="M185" s="3127"/>
    </row>
    <row r="186" spans="1:20">
      <c r="A186" s="3128" t="s">
        <v>2800</v>
      </c>
      <c r="B186" s="3129" t="s">
        <v>2596</v>
      </c>
      <c r="C186" s="3129" t="s">
        <v>2597</v>
      </c>
      <c r="D186" s="3129" t="s">
        <v>2598</v>
      </c>
      <c r="E186" s="3129" t="s">
        <v>2599</v>
      </c>
      <c r="F186" s="3129" t="s">
        <v>2600</v>
      </c>
      <c r="G186" s="3129" t="s">
        <v>2601</v>
      </c>
      <c r="H186" s="3130" t="s">
        <v>2602</v>
      </c>
      <c r="I186" s="3130" t="s">
        <v>2603</v>
      </c>
      <c r="J186" s="3131" t="s">
        <v>2604</v>
      </c>
      <c r="K186" s="3131" t="s">
        <v>2605</v>
      </c>
      <c r="L186" s="3131" t="s">
        <v>2606</v>
      </c>
      <c r="M186" s="3132" t="s">
        <v>2607</v>
      </c>
      <c r="Q186" s="3142" t="s">
        <v>2805</v>
      </c>
      <c r="R186" s="3142" t="s">
        <v>2806</v>
      </c>
      <c r="S186" s="3142" t="s">
        <v>2807</v>
      </c>
      <c r="T186" s="3142" t="s">
        <v>2808</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2803</v>
      </c>
      <c r="B277" s="3127"/>
      <c r="C277" s="3127"/>
      <c r="D277" s="3127"/>
      <c r="E277" s="3127"/>
      <c r="F277" s="3127"/>
      <c r="G277" s="3127"/>
      <c r="H277" s="3127"/>
      <c r="I277" s="3127"/>
      <c r="J277" s="3127"/>
      <c r="K277" s="3127"/>
      <c r="L277" s="3127"/>
      <c r="M277" s="3127"/>
    </row>
    <row r="278" spans="1:21">
      <c r="A278" s="3128" t="s">
        <v>2800</v>
      </c>
      <c r="B278" s="3129" t="s">
        <v>2596</v>
      </c>
      <c r="C278" s="3129" t="s">
        <v>2597</v>
      </c>
      <c r="D278" s="3129" t="s">
        <v>2598</v>
      </c>
      <c r="E278" s="3129" t="s">
        <v>2599</v>
      </c>
      <c r="F278" s="3129" t="s">
        <v>2600</v>
      </c>
      <c r="G278" s="3129" t="s">
        <v>2601</v>
      </c>
      <c r="H278" s="3130" t="s">
        <v>2602</v>
      </c>
      <c r="I278" s="3130" t="s">
        <v>2603</v>
      </c>
      <c r="J278" s="3131" t="s">
        <v>2604</v>
      </c>
      <c r="K278" s="3131" t="s">
        <v>2605</v>
      </c>
      <c r="L278" s="3131" t="s">
        <v>2606</v>
      </c>
      <c r="M278" s="3132" t="s">
        <v>2607</v>
      </c>
      <c r="Q278" s="3142" t="s">
        <v>2805</v>
      </c>
      <c r="R278" s="3142" t="s">
        <v>2806</v>
      </c>
      <c r="S278" s="3142" t="s">
        <v>2809</v>
      </c>
      <c r="T278" s="3142" t="s">
        <v>2810</v>
      </c>
      <c r="U278" s="3142" t="s">
        <v>2808</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2804</v>
      </c>
      <c r="B369" s="3140"/>
      <c r="C369" s="3140"/>
      <c r="D369" s="3140"/>
      <c r="E369" s="3140"/>
      <c r="F369" s="3140"/>
      <c r="G369" s="3140"/>
      <c r="H369" s="3140"/>
      <c r="I369" s="3140"/>
      <c r="J369" s="3140"/>
      <c r="K369" s="3140"/>
      <c r="L369" s="3140"/>
      <c r="M369" s="3140"/>
    </row>
    <row r="370" spans="1:20">
      <c r="A370" s="3128" t="s">
        <v>2800</v>
      </c>
      <c r="B370" s="3129" t="s">
        <v>2596</v>
      </c>
      <c r="C370" s="3129" t="s">
        <v>2597</v>
      </c>
      <c r="D370" s="3129" t="s">
        <v>2598</v>
      </c>
      <c r="E370" s="3129" t="s">
        <v>2599</v>
      </c>
      <c r="F370" s="3129" t="s">
        <v>2600</v>
      </c>
      <c r="G370" s="3129" t="s">
        <v>2601</v>
      </c>
      <c r="H370" s="3130" t="s">
        <v>2602</v>
      </c>
      <c r="I370" s="3130" t="s">
        <v>2603</v>
      </c>
      <c r="J370" s="3131" t="s">
        <v>2604</v>
      </c>
      <c r="K370" s="3131" t="s">
        <v>2605</v>
      </c>
      <c r="L370" s="3131" t="s">
        <v>2606</v>
      </c>
      <c r="M370" s="3132" t="s">
        <v>2607</v>
      </c>
      <c r="N370" s="750">
        <f>SUMPRODUCT((A371:A460=ROUNDDOWN(基准地价修正!G3,1))*(B370:M370=基准地价修正!G2)*(B371:M460))</f>
        <v>0.94710000000000005</v>
      </c>
      <c r="Q370" s="3142" t="s">
        <v>2805</v>
      </c>
      <c r="R370" s="3142" t="s">
        <v>2806</v>
      </c>
      <c r="S370" s="3142" t="s">
        <v>2807</v>
      </c>
      <c r="T370" s="3142" t="s">
        <v>2808</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36985</v>
      </c>
      <c r="C2" s="2" t="s">
        <v>106</v>
      </c>
      <c r="D2" s="199"/>
      <c r="E2" s="199"/>
      <c r="F2" s="199"/>
      <c r="G2" s="199"/>
    </row>
    <row r="3" spans="1:7" s="200" customFormat="1" ht="18" customHeight="1" thickBot="1">
      <c r="A3" s="203" t="s">
        <v>58</v>
      </c>
      <c r="B3" s="204">
        <f ca="1">ROUND(B2*10000/'数据-汇总表'!E3,0)</f>
        <v>20048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369</v>
      </c>
      <c r="D10" s="845">
        <f>'数据-汇总表'!E6</f>
        <v>18448.600000000002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369</v>
      </c>
      <c r="D19" s="849">
        <f>'数据-汇总表'!E3</f>
        <v>18448.600000000002</v>
      </c>
      <c r="E19" s="211">
        <f>'数据-取费表'!B31</f>
        <v>200</v>
      </c>
      <c r="F19" s="231"/>
      <c r="G19" s="1" t="s">
        <v>436</v>
      </c>
    </row>
    <row r="20" spans="1:7" s="214" customFormat="1" ht="13.5" customHeight="1">
      <c r="A20" s="777" t="s">
        <v>419</v>
      </c>
      <c r="B20" s="210" t="s">
        <v>77</v>
      </c>
      <c r="C20" s="232">
        <f>ROUND((C5+C19)*F20,0)</f>
        <v>420</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1487</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26</v>
      </c>
      <c r="D24" s="238"/>
      <c r="E24" s="238"/>
      <c r="F24" s="239"/>
      <c r="G24" s="240" t="s">
        <v>82</v>
      </c>
    </row>
    <row r="25" spans="1:7" s="214" customFormat="1" ht="24">
      <c r="A25" s="780" t="s">
        <v>348</v>
      </c>
      <c r="B25" s="215" t="s">
        <v>420</v>
      </c>
      <c r="C25" s="1105">
        <f ca="1">ROUND(IF('数据-取费表'!B22&lt;=1,C20*F22*'数据-取费表'!B23/2,C20*(POWER((1+F22),'数据-取费表'!B23/2)-1)),0)</f>
        <v>14</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3210</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3210</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28274</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10238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9224</v>
      </c>
      <c r="D34" s="217"/>
      <c r="E34" s="220"/>
      <c r="F34" s="257">
        <f>IF('数据-取费表'!B24=0,1,'数据-取费表'!N16)</f>
        <v>1</v>
      </c>
      <c r="G34" s="219" t="s">
        <v>89</v>
      </c>
    </row>
    <row r="35" spans="1:7" ht="13.5" customHeight="1">
      <c r="A35" s="780" t="s">
        <v>351</v>
      </c>
      <c r="B35" s="215" t="s">
        <v>33</v>
      </c>
      <c r="C35" s="220">
        <f>ROUND(C34*F35,0)</f>
        <v>461</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369</v>
      </c>
      <c r="D37" s="217">
        <f>'数据-汇总表'!E3</f>
        <v>18448.600000000002</v>
      </c>
      <c r="E37" s="249">
        <f>'数据-取费表'!B35</f>
        <v>200</v>
      </c>
      <c r="F37" s="259"/>
      <c r="G37" s="261" t="s">
        <v>92</v>
      </c>
    </row>
    <row r="38" spans="1:7" ht="13.5" customHeight="1">
      <c r="A38" s="780" t="s">
        <v>354</v>
      </c>
      <c r="B38" s="215" t="s">
        <v>36</v>
      </c>
      <c r="C38" s="220">
        <f>ROUND(C34*F38,0)</f>
        <v>184</v>
      </c>
      <c r="D38" s="220"/>
      <c r="E38" s="220"/>
      <c r="F38" s="259">
        <f>'数据-取费表'!B36</f>
        <v>0.02</v>
      </c>
      <c r="G38" s="219" t="s">
        <v>90</v>
      </c>
    </row>
    <row r="39" spans="1:7" s="214" customFormat="1" ht="13.5" customHeight="1">
      <c r="A39" s="777" t="s">
        <v>338</v>
      </c>
      <c r="B39" s="210" t="s">
        <v>77</v>
      </c>
      <c r="C39" s="232">
        <f>ROUND(C33*F20,0)</f>
        <v>205</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360</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353</v>
      </c>
      <c r="D42" s="238"/>
      <c r="E42" s="238"/>
      <c r="F42" s="239"/>
      <c r="G42" s="3850" t="s">
        <v>94</v>
      </c>
    </row>
    <row r="43" spans="1:7" ht="13.5" customHeight="1">
      <c r="A43" s="780" t="s">
        <v>347</v>
      </c>
      <c r="B43" s="215" t="s">
        <v>426</v>
      </c>
      <c r="C43" s="238">
        <f ca="1">ROUND(IF('数据-取费表'!B22&lt;=1,C39*F22*'数据-取费表'!B21/2,C39*(POWER((1+F22),'数据-取费表'!B21/2)-1)),0)</f>
        <v>7</v>
      </c>
      <c r="D43" s="238"/>
      <c r="E43" s="238"/>
      <c r="F43" s="239"/>
      <c r="G43" s="3851"/>
    </row>
    <row r="44" spans="1:7" ht="13.5" customHeight="1">
      <c r="A44" s="780" t="s">
        <v>348</v>
      </c>
      <c r="B44" s="215" t="s">
        <v>428</v>
      </c>
      <c r="C44" s="238">
        <f ca="1">ROUND(IF('数据-取费表'!B22&lt;=1,C40*F22*'数据-取费表'!B21/2,C40*(POWER((1+F22),'数据-取费表'!B21/2)-1)),4)</f>
        <v>6.9999999999999999E-4</v>
      </c>
      <c r="D44" s="238"/>
      <c r="E44" s="238"/>
      <c r="F44" s="239"/>
      <c r="G44" s="3852"/>
    </row>
    <row r="45" spans="1:7" s="214" customFormat="1" ht="13.5" customHeight="1">
      <c r="A45" s="777" t="s">
        <v>341</v>
      </c>
      <c r="B45" s="244" t="s">
        <v>85</v>
      </c>
      <c r="C45" s="245">
        <f>C46</f>
        <v>1566</v>
      </c>
      <c r="D45" s="235">
        <f>C47</f>
        <v>3.0000000000000001E-3</v>
      </c>
      <c r="E45" s="236" t="s">
        <v>102</v>
      </c>
      <c r="F45" s="246"/>
      <c r="G45" s="247" t="s">
        <v>434</v>
      </c>
    </row>
    <row r="46" spans="1:7" s="214" customFormat="1" ht="13.5" customHeight="1">
      <c r="A46" s="780" t="s">
        <v>349</v>
      </c>
      <c r="B46" s="248" t="s">
        <v>427</v>
      </c>
      <c r="C46" s="249">
        <f>ROUND((C33+C39)*F27,0)</f>
        <v>1566</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13401</v>
      </c>
      <c r="D49" s="232"/>
      <c r="E49" s="232"/>
      <c r="F49" s="264"/>
      <c r="G49" s="234" t="s">
        <v>435</v>
      </c>
    </row>
    <row r="50" spans="1:7" s="258" customFormat="1" ht="24">
      <c r="A50" s="777" t="s">
        <v>344</v>
      </c>
      <c r="B50" s="210" t="s">
        <v>97</v>
      </c>
      <c r="C50" s="232"/>
      <c r="D50" s="232"/>
      <c r="E50" s="232"/>
      <c r="F50" s="264">
        <f>IF('数据-取费表'!B24=0,'数据-取费表'!N16,1)</f>
        <v>0.65</v>
      </c>
      <c r="G50" s="247" t="s">
        <v>98</v>
      </c>
    </row>
    <row r="51" spans="1:7" ht="16.5" customHeight="1">
      <c r="A51" s="777" t="s">
        <v>345</v>
      </c>
      <c r="B51" s="210" t="s">
        <v>105</v>
      </c>
      <c r="C51" s="232">
        <f ca="1">ROUND(C49*F50,0)</f>
        <v>8711</v>
      </c>
      <c r="D51" s="232"/>
      <c r="E51" s="232"/>
      <c r="F51" s="264"/>
      <c r="G51" s="234" t="s">
        <v>37</v>
      </c>
    </row>
    <row r="52" spans="1:7" s="208" customFormat="1" ht="16.5" thickBot="1">
      <c r="A52" s="265" t="s">
        <v>38</v>
      </c>
      <c r="B52" s="266"/>
      <c r="C52" s="267">
        <f ca="1">C31+C51</f>
        <v>36985</v>
      </c>
      <c r="D52" s="266"/>
      <c r="E52" s="266"/>
      <c r="F52" s="266"/>
      <c r="G52" s="268"/>
    </row>
    <row r="55" spans="1:7" ht="15">
      <c r="B55" s="270" t="s">
        <v>39</v>
      </c>
      <c r="C55" s="271"/>
    </row>
    <row r="56" spans="1:7">
      <c r="B56" s="273" t="s">
        <v>40</v>
      </c>
      <c r="C56" s="274">
        <f ca="1">ROUND(C51/C52,3)</f>
        <v>0.23599999999999999</v>
      </c>
    </row>
    <row r="57" spans="1:7">
      <c r="B57" s="273" t="s">
        <v>41</v>
      </c>
      <c r="C57" s="275">
        <f ca="1">1-C56</f>
        <v>0.76400000000000001</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990" t="s">
        <v>2840</v>
      </c>
      <c r="B1" s="3990"/>
      <c r="C1" s="3990"/>
      <c r="D1" s="3990"/>
      <c r="E1" s="3990"/>
      <c r="F1" s="3990"/>
      <c r="G1" s="3991"/>
      <c r="I1" s="3223" t="s">
        <v>2841</v>
      </c>
      <c r="J1" s="3224" t="s">
        <v>2842</v>
      </c>
      <c r="K1" s="3224" t="s">
        <v>2843</v>
      </c>
      <c r="L1" s="3224" t="s">
        <v>2844</v>
      </c>
      <c r="M1" s="3224" t="s">
        <v>2845</v>
      </c>
      <c r="N1" s="3224" t="s">
        <v>2846</v>
      </c>
      <c r="O1" s="3224" t="s">
        <v>2847</v>
      </c>
      <c r="P1" s="3224" t="s">
        <v>2848</v>
      </c>
      <c r="Q1" s="3224" t="s">
        <v>2849</v>
      </c>
      <c r="R1" s="3224" t="s">
        <v>2850</v>
      </c>
      <c r="S1" s="3224" t="s">
        <v>2851</v>
      </c>
      <c r="T1" s="3225" t="s">
        <v>2852</v>
      </c>
    </row>
    <row r="2" spans="1:20" ht="12" thickBot="1">
      <c r="A2" s="3227" t="s">
        <v>2853</v>
      </c>
      <c r="B2" s="3227"/>
      <c r="C2" s="3227"/>
      <c r="D2" s="3227"/>
      <c r="E2" s="3227"/>
      <c r="F2" s="3227"/>
      <c r="G2" s="3228" t="s">
        <v>2854</v>
      </c>
      <c r="I2" s="3229" t="s">
        <v>2855</v>
      </c>
      <c r="J2" s="3229" t="s">
        <v>2856</v>
      </c>
      <c r="K2" s="3229" t="s">
        <v>2857</v>
      </c>
      <c r="L2" s="3229" t="s">
        <v>2858</v>
      </c>
      <c r="M2" s="3229" t="s">
        <v>2859</v>
      </c>
      <c r="N2" s="3229" t="s">
        <v>2860</v>
      </c>
      <c r="O2" s="3229" t="s">
        <v>2861</v>
      </c>
      <c r="P2" s="3229" t="s">
        <v>2862</v>
      </c>
      <c r="Q2" s="3229" t="s">
        <v>2863</v>
      </c>
      <c r="R2" s="3229" t="s">
        <v>2864</v>
      </c>
      <c r="S2" s="3229" t="s">
        <v>2865</v>
      </c>
      <c r="T2" s="3229" t="s">
        <v>2866</v>
      </c>
    </row>
    <row r="3" spans="1:20" s="3235" customFormat="1">
      <c r="A3" s="3988" t="s">
        <v>2867</v>
      </c>
      <c r="B3" s="3230"/>
      <c r="C3" s="3231" t="s">
        <v>2812</v>
      </c>
      <c r="D3" s="3231" t="s">
        <v>2868</v>
      </c>
      <c r="E3" s="3231" t="s">
        <v>2814</v>
      </c>
      <c r="F3" s="3231" t="s">
        <v>2869</v>
      </c>
      <c r="G3" s="3231" t="s">
        <v>2632</v>
      </c>
      <c r="H3" s="3232"/>
      <c r="I3" s="3233" t="s">
        <v>2870</v>
      </c>
      <c r="J3" s="3234" t="s">
        <v>128</v>
      </c>
      <c r="K3" s="3234" t="s">
        <v>129</v>
      </c>
      <c r="L3" s="3233" t="s">
        <v>130</v>
      </c>
      <c r="M3" s="3233" t="s">
        <v>131</v>
      </c>
      <c r="N3" s="3233" t="s">
        <v>132</v>
      </c>
      <c r="O3" s="3233" t="s">
        <v>133</v>
      </c>
      <c r="P3" s="3233" t="s">
        <v>134</v>
      </c>
      <c r="Q3" s="3233" t="s">
        <v>135</v>
      </c>
      <c r="R3" s="3233" t="s">
        <v>136</v>
      </c>
      <c r="S3" s="3233" t="s">
        <v>2871</v>
      </c>
      <c r="T3" s="3233" t="s">
        <v>2872</v>
      </c>
    </row>
    <row r="4" spans="1:20" s="3235" customFormat="1" ht="12" thickBot="1">
      <c r="A4" s="3989"/>
      <c r="B4" s="3236" t="s">
        <v>2873</v>
      </c>
      <c r="C4" s="3236" t="s">
        <v>2874</v>
      </c>
      <c r="D4" s="3236" t="s">
        <v>2874</v>
      </c>
      <c r="E4" s="3236" t="s">
        <v>2874</v>
      </c>
      <c r="F4" s="3237" t="s">
        <v>2874</v>
      </c>
      <c r="G4" s="3237" t="s">
        <v>2874</v>
      </c>
      <c r="H4" s="3232"/>
      <c r="I4" s="3234" t="s">
        <v>137</v>
      </c>
      <c r="J4" s="3234" t="s">
        <v>111</v>
      </c>
      <c r="K4" s="3234" t="s">
        <v>138</v>
      </c>
      <c r="L4" s="3233" t="s">
        <v>139</v>
      </c>
      <c r="M4" s="3233" t="s">
        <v>140</v>
      </c>
      <c r="N4" s="3233" t="s">
        <v>141</v>
      </c>
      <c r="O4" s="3233" t="s">
        <v>142</v>
      </c>
      <c r="P4" s="3233" t="s">
        <v>143</v>
      </c>
      <c r="Q4" s="3233" t="s">
        <v>2875</v>
      </c>
      <c r="R4" s="3233" t="s">
        <v>2876</v>
      </c>
      <c r="S4" s="3233" t="s">
        <v>2877</v>
      </c>
      <c r="T4" s="3233" t="s">
        <v>2878</v>
      </c>
    </row>
    <row r="5" spans="1:20">
      <c r="A5" s="3238" t="s">
        <v>2841</v>
      </c>
      <c r="B5" s="3229" t="s">
        <v>2855</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2879</v>
      </c>
      <c r="R5" s="3233" t="s">
        <v>2880</v>
      </c>
      <c r="S5" s="3233" t="s">
        <v>153</v>
      </c>
      <c r="T5" s="3233" t="s">
        <v>2881</v>
      </c>
    </row>
    <row r="6" spans="1:20" ht="12" thickBot="1">
      <c r="A6" s="3233" t="s">
        <v>144</v>
      </c>
      <c r="B6" s="3233" t="s">
        <v>2870</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2882</v>
      </c>
      <c r="Q6" s="3233" t="s">
        <v>2883</v>
      </c>
      <c r="R6" s="3233" t="s">
        <v>161</v>
      </c>
      <c r="S6" s="3233" t="s">
        <v>2884</v>
      </c>
      <c r="T6" s="3233" t="s">
        <v>2885</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2886</v>
      </c>
      <c r="Q7" s="3233" t="s">
        <v>2887</v>
      </c>
      <c r="R7" s="3233" t="s">
        <v>2888</v>
      </c>
      <c r="S7" s="3233" t="s">
        <v>2889</v>
      </c>
      <c r="T7" s="3233" t="s">
        <v>2890</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2891</v>
      </c>
      <c r="Q8" s="3233" t="s">
        <v>174</v>
      </c>
      <c r="R8" s="3233" t="s">
        <v>2892</v>
      </c>
      <c r="S8" s="3233" t="s">
        <v>2893</v>
      </c>
      <c r="T8" s="3240" t="s">
        <v>2894</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2895</v>
      </c>
      <c r="Q9" s="3233" t="s">
        <v>182</v>
      </c>
      <c r="R9" s="3233" t="s">
        <v>183</v>
      </c>
      <c r="S9" s="3233" t="s">
        <v>200</v>
      </c>
    </row>
    <row r="10" spans="1:20">
      <c r="A10" s="3238" t="s">
        <v>184</v>
      </c>
      <c r="B10" s="3229" t="s">
        <v>2856</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2896</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2897</v>
      </c>
      <c r="P11" s="3233" t="s">
        <v>191</v>
      </c>
      <c r="Q11" s="3233" t="s">
        <v>199</v>
      </c>
      <c r="R11" s="3233" t="s">
        <v>2898</v>
      </c>
      <c r="S11" s="3233" t="s">
        <v>2899</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2900</v>
      </c>
      <c r="P12" s="3233" t="s">
        <v>2901</v>
      </c>
      <c r="Q12" s="3233" t="s">
        <v>2902</v>
      </c>
      <c r="R12" s="3233" t="s">
        <v>2903</v>
      </c>
      <c r="S12" s="3233" t="s">
        <v>2904</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2905</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2906</v>
      </c>
      <c r="K14" s="3234" t="s">
        <v>215</v>
      </c>
      <c r="L14" s="3233" t="s">
        <v>216</v>
      </c>
      <c r="M14" s="3233" t="s">
        <v>217</v>
      </c>
      <c r="N14" s="3233" t="s">
        <v>218</v>
      </c>
      <c r="O14" s="3233" t="s">
        <v>240</v>
      </c>
      <c r="P14" s="3233" t="s">
        <v>213</v>
      </c>
      <c r="Q14" s="3233" t="s">
        <v>2907</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2908</v>
      </c>
      <c r="P15" s="3233" t="s">
        <v>2909</v>
      </c>
      <c r="Q15" s="3233" t="s">
        <v>242</v>
      </c>
      <c r="R15" s="3233" t="s">
        <v>2910</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2911</v>
      </c>
      <c r="P16" s="3233" t="s">
        <v>227</v>
      </c>
      <c r="Q16" s="3233" t="s">
        <v>250</v>
      </c>
      <c r="R16" s="3233" t="s">
        <v>207</v>
      </c>
      <c r="S16" s="3233" t="s">
        <v>2912</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2913</v>
      </c>
      <c r="P17" s="3233" t="s">
        <v>2914</v>
      </c>
      <c r="Q17" s="3233" t="s">
        <v>256</v>
      </c>
      <c r="R17" s="3233" t="s">
        <v>2915</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2916</v>
      </c>
      <c r="P18" s="3233" t="s">
        <v>241</v>
      </c>
      <c r="Q18" s="3233" t="s">
        <v>2917</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2918</v>
      </c>
      <c r="P19" s="3233" t="s">
        <v>249</v>
      </c>
      <c r="Q19" s="3233" t="s">
        <v>2919</v>
      </c>
      <c r="R19" s="3233" t="s">
        <v>265</v>
      </c>
      <c r="S19" s="3233" t="s">
        <v>2920</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2921</v>
      </c>
      <c r="P20" s="3233" t="s">
        <v>2922</v>
      </c>
      <c r="Q20" s="3233" t="s">
        <v>290</v>
      </c>
      <c r="R20" s="3233" t="s">
        <v>2923</v>
      </c>
      <c r="S20" s="3233" t="s">
        <v>277</v>
      </c>
    </row>
    <row r="21" spans="1:19" ht="14.25" customHeight="1" thickBot="1">
      <c r="A21" s="3233" t="s">
        <v>184</v>
      </c>
      <c r="B21" s="3234" t="s">
        <v>208</v>
      </c>
      <c r="C21" s="3233">
        <v>32370</v>
      </c>
      <c r="D21" s="3233">
        <v>26730</v>
      </c>
      <c r="E21" s="3233">
        <v>26640</v>
      </c>
      <c r="F21" s="3233"/>
      <c r="G21" s="3233">
        <v>19440</v>
      </c>
      <c r="J21" s="3240" t="s">
        <v>2924</v>
      </c>
      <c r="K21" s="3234" t="s">
        <v>267</v>
      </c>
      <c r="L21" s="3233" t="s">
        <v>268</v>
      </c>
      <c r="M21" s="3233" t="s">
        <v>269</v>
      </c>
      <c r="N21" s="3233" t="s">
        <v>270</v>
      </c>
      <c r="O21" s="3233" t="s">
        <v>264</v>
      </c>
      <c r="P21" s="3233" t="s">
        <v>283</v>
      </c>
      <c r="Q21" s="3233" t="s">
        <v>293</v>
      </c>
      <c r="R21" s="3233" t="s">
        <v>2925</v>
      </c>
      <c r="S21" s="3240" t="s">
        <v>2926</v>
      </c>
    </row>
    <row r="22" spans="1:19" ht="14.25" customHeight="1">
      <c r="A22" s="3233" t="s">
        <v>184</v>
      </c>
      <c r="B22" s="3234" t="s">
        <v>2906</v>
      </c>
      <c r="C22" s="3233">
        <v>29830</v>
      </c>
      <c r="D22" s="3233">
        <v>27600</v>
      </c>
      <c r="E22" s="3233">
        <v>28150</v>
      </c>
      <c r="F22" s="3233"/>
      <c r="G22" s="3233">
        <v>20080</v>
      </c>
      <c r="K22" s="3234" t="s">
        <v>2927</v>
      </c>
      <c r="L22" s="3233" t="s">
        <v>272</v>
      </c>
      <c r="M22" s="3233" t="s">
        <v>273</v>
      </c>
      <c r="N22" s="3233" t="s">
        <v>274</v>
      </c>
      <c r="O22" s="3233" t="s">
        <v>2928</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2929</v>
      </c>
      <c r="L23" s="3233" t="s">
        <v>278</v>
      </c>
      <c r="M23" s="3233" t="s">
        <v>279</v>
      </c>
      <c r="N23" s="3233" t="s">
        <v>2930</v>
      </c>
      <c r="O23" s="3233" t="s">
        <v>2931</v>
      </c>
      <c r="P23" s="3233" t="s">
        <v>289</v>
      </c>
      <c r="Q23" s="3233" t="s">
        <v>298</v>
      </c>
      <c r="R23" s="3233" t="s">
        <v>2932</v>
      </c>
    </row>
    <row r="24" spans="1:19" ht="14.25" customHeight="1">
      <c r="A24" s="3233" t="s">
        <v>184</v>
      </c>
      <c r="B24" s="3234" t="s">
        <v>230</v>
      </c>
      <c r="C24" s="3233">
        <v>27930</v>
      </c>
      <c r="D24" s="3233">
        <v>32260</v>
      </c>
      <c r="E24" s="3233">
        <v>32120</v>
      </c>
      <c r="F24" s="3233"/>
      <c r="G24" s="3233">
        <v>23470</v>
      </c>
      <c r="K24" s="3234" t="s">
        <v>2933</v>
      </c>
      <c r="L24" s="3233" t="s">
        <v>281</v>
      </c>
      <c r="M24" s="3233" t="s">
        <v>282</v>
      </c>
      <c r="N24" s="3233" t="s">
        <v>2934</v>
      </c>
      <c r="O24" s="3233" t="s">
        <v>285</v>
      </c>
      <c r="P24" s="3233" t="s">
        <v>2935</v>
      </c>
      <c r="Q24" s="3242" t="s">
        <v>2936</v>
      </c>
      <c r="R24" s="3233" t="s">
        <v>2937</v>
      </c>
    </row>
    <row r="25" spans="1:19" ht="14.25" customHeight="1">
      <c r="A25" s="3233" t="s">
        <v>184</v>
      </c>
      <c r="B25" s="3234" t="s">
        <v>235</v>
      </c>
      <c r="C25" s="3233">
        <v>32230</v>
      </c>
      <c r="D25" s="3233">
        <v>29640</v>
      </c>
      <c r="E25" s="3233">
        <v>29510</v>
      </c>
      <c r="F25" s="3233"/>
      <c r="G25" s="3233">
        <v>21560</v>
      </c>
      <c r="K25" s="3234" t="s">
        <v>2938</v>
      </c>
      <c r="L25" s="3233" t="s">
        <v>2939</v>
      </c>
      <c r="M25" s="3233" t="s">
        <v>284</v>
      </c>
      <c r="N25" s="3233" t="s">
        <v>292</v>
      </c>
      <c r="O25" s="3233" t="s">
        <v>288</v>
      </c>
      <c r="P25" s="3233" t="s">
        <v>275</v>
      </c>
      <c r="Q25" s="3242" t="s">
        <v>271</v>
      </c>
      <c r="R25" s="3233" t="s">
        <v>2940</v>
      </c>
    </row>
    <row r="26" spans="1:19" ht="14.25" customHeight="1" thickBot="1">
      <c r="A26" s="3233" t="s">
        <v>184</v>
      </c>
      <c r="B26" s="3234" t="s">
        <v>244</v>
      </c>
      <c r="C26" s="3233">
        <v>31690</v>
      </c>
      <c r="D26" s="3233">
        <v>27650</v>
      </c>
      <c r="E26" s="3233">
        <v>28200</v>
      </c>
      <c r="F26" s="3233"/>
      <c r="G26" s="3233">
        <v>20110</v>
      </c>
      <c r="K26" s="3239" t="s">
        <v>2941</v>
      </c>
      <c r="L26" s="3233" t="s">
        <v>2942</v>
      </c>
      <c r="M26" s="3233" t="s">
        <v>287</v>
      </c>
      <c r="N26" s="3233" t="s">
        <v>294</v>
      </c>
      <c r="O26" s="3233" t="s">
        <v>2943</v>
      </c>
      <c r="P26" s="3233" t="s">
        <v>2944</v>
      </c>
      <c r="Q26" s="3242" t="s">
        <v>276</v>
      </c>
      <c r="R26" s="3233" t="s">
        <v>2945</v>
      </c>
    </row>
    <row r="27" spans="1:19" ht="14.25" customHeight="1">
      <c r="A27" s="3233" t="s">
        <v>184</v>
      </c>
      <c r="B27" s="3234" t="s">
        <v>251</v>
      </c>
      <c r="C27" s="3233">
        <v>29610</v>
      </c>
      <c r="D27" s="3233">
        <v>27770</v>
      </c>
      <c r="E27" s="3233">
        <v>28300</v>
      </c>
      <c r="F27" s="3233"/>
      <c r="G27" s="3233">
        <v>20210</v>
      </c>
      <c r="L27" s="3233" t="s">
        <v>2946</v>
      </c>
      <c r="M27" s="3233" t="s">
        <v>291</v>
      </c>
      <c r="N27" s="3233" t="s">
        <v>297</v>
      </c>
      <c r="O27" s="3233" t="s">
        <v>2947</v>
      </c>
      <c r="P27" s="3233" t="s">
        <v>2948</v>
      </c>
      <c r="Q27" s="3233" t="s">
        <v>2949</v>
      </c>
      <c r="R27" s="3233" t="s">
        <v>2950</v>
      </c>
    </row>
    <row r="28" spans="1:19" ht="14.25" customHeight="1">
      <c r="A28" s="3233" t="s">
        <v>184</v>
      </c>
      <c r="B28" s="3234" t="s">
        <v>259</v>
      </c>
      <c r="C28" s="3233"/>
      <c r="D28" s="3233">
        <v>31520</v>
      </c>
      <c r="E28" s="3233">
        <v>31410</v>
      </c>
      <c r="F28" s="3233"/>
      <c r="G28" s="3233">
        <v>22940</v>
      </c>
      <c r="L28" s="3233" t="s">
        <v>2951</v>
      </c>
      <c r="M28" s="3233" t="s">
        <v>2952</v>
      </c>
      <c r="N28" s="3233" t="s">
        <v>2953</v>
      </c>
      <c r="O28" s="3233" t="s">
        <v>2954</v>
      </c>
      <c r="P28" s="3233" t="s">
        <v>2955</v>
      </c>
      <c r="Q28" s="3233" t="s">
        <v>2956</v>
      </c>
      <c r="R28" s="3233" t="s">
        <v>2957</v>
      </c>
    </row>
    <row r="29" spans="1:19" ht="14.25" customHeight="1" thickBot="1">
      <c r="A29" s="3241" t="s">
        <v>184</v>
      </c>
      <c r="B29" s="3243" t="s">
        <v>2924</v>
      </c>
      <c r="C29" s="3244"/>
      <c r="D29" s="3244">
        <v>29460</v>
      </c>
      <c r="E29" s="3244">
        <v>28640</v>
      </c>
      <c r="F29" s="3244"/>
      <c r="G29" s="3244">
        <v>21430</v>
      </c>
      <c r="L29" s="3233" t="s">
        <v>2958</v>
      </c>
      <c r="M29" s="3233" t="s">
        <v>2959</v>
      </c>
      <c r="N29" s="3233" t="s">
        <v>2960</v>
      </c>
      <c r="O29" s="3233" t="s">
        <v>2961</v>
      </c>
      <c r="P29" s="3233" t="s">
        <v>2962</v>
      </c>
      <c r="Q29" s="3233" t="s">
        <v>2963</v>
      </c>
      <c r="R29" s="3233" t="s">
        <v>280</v>
      </c>
    </row>
    <row r="30" spans="1:19" ht="14.25" customHeight="1">
      <c r="A30" s="3238" t="s">
        <v>296</v>
      </c>
      <c r="B30" s="3229" t="s">
        <v>2857</v>
      </c>
      <c r="C30" s="3229">
        <v>26890</v>
      </c>
      <c r="D30" s="3229">
        <v>26770</v>
      </c>
      <c r="E30" s="3229">
        <v>25700</v>
      </c>
      <c r="F30" s="3229">
        <v>8180</v>
      </c>
      <c r="G30" s="3245">
        <v>18740</v>
      </c>
      <c r="L30" s="3233" t="s">
        <v>2964</v>
      </c>
      <c r="M30" s="3233" t="s">
        <v>2965</v>
      </c>
      <c r="N30" s="3233" t="s">
        <v>2966</v>
      </c>
      <c r="O30" s="3233" t="s">
        <v>2967</v>
      </c>
      <c r="P30" s="3233" t="s">
        <v>2968</v>
      </c>
      <c r="Q30" s="3233" t="s">
        <v>2969</v>
      </c>
      <c r="R30" s="3233" t="s">
        <v>2970</v>
      </c>
    </row>
    <row r="31" spans="1:19" ht="14.25" customHeight="1">
      <c r="A31" s="3233" t="s">
        <v>296</v>
      </c>
      <c r="B31" s="3234" t="s">
        <v>129</v>
      </c>
      <c r="C31" s="3233">
        <v>24550</v>
      </c>
      <c r="D31" s="3233">
        <v>23990</v>
      </c>
      <c r="E31" s="3233">
        <v>22930</v>
      </c>
      <c r="F31" s="3233">
        <v>7470</v>
      </c>
      <c r="G31" s="3246">
        <v>16790</v>
      </c>
      <c r="L31" s="3233" t="s">
        <v>2971</v>
      </c>
      <c r="M31" s="3233" t="s">
        <v>2972</v>
      </c>
      <c r="N31" s="3233" t="s">
        <v>2973</v>
      </c>
      <c r="O31" s="3233" t="s">
        <v>2974</v>
      </c>
      <c r="P31" s="3233" t="s">
        <v>2975</v>
      </c>
      <c r="Q31" s="3233" t="s">
        <v>2976</v>
      </c>
      <c r="R31" s="3233" t="s">
        <v>2977</v>
      </c>
    </row>
    <row r="32" spans="1:19" ht="14.25" customHeight="1" thickBot="1">
      <c r="A32" s="3233" t="s">
        <v>296</v>
      </c>
      <c r="B32" s="3234" t="s">
        <v>138</v>
      </c>
      <c r="C32" s="3233">
        <v>27210</v>
      </c>
      <c r="D32" s="3233">
        <v>23240</v>
      </c>
      <c r="E32" s="3233">
        <v>23260</v>
      </c>
      <c r="F32" s="3233">
        <v>7130</v>
      </c>
      <c r="G32" s="3246">
        <v>16270</v>
      </c>
      <c r="L32" s="3233" t="s">
        <v>2978</v>
      </c>
      <c r="M32" s="3233" t="s">
        <v>2979</v>
      </c>
      <c r="N32" s="3233" t="s">
        <v>300</v>
      </c>
      <c r="O32" s="3233" t="s">
        <v>2980</v>
      </c>
      <c r="P32" s="3233" t="s">
        <v>299</v>
      </c>
      <c r="Q32" s="3233" t="s">
        <v>2981</v>
      </c>
      <c r="R32" s="3240" t="s">
        <v>2982</v>
      </c>
    </row>
    <row r="33" spans="1:17" ht="14.25" customHeight="1" thickBot="1">
      <c r="A33" s="3233" t="s">
        <v>296</v>
      </c>
      <c r="B33" s="3234" t="s">
        <v>147</v>
      </c>
      <c r="C33" s="3233">
        <v>27300</v>
      </c>
      <c r="D33" s="3233">
        <v>22980</v>
      </c>
      <c r="E33" s="3233">
        <v>24260</v>
      </c>
      <c r="F33" s="3233">
        <v>5860</v>
      </c>
      <c r="G33" s="3246">
        <v>16090</v>
      </c>
      <c r="L33" s="3240" t="s">
        <v>2983</v>
      </c>
      <c r="M33" s="3233" t="s">
        <v>2984</v>
      </c>
      <c r="N33" s="3233" t="s">
        <v>301</v>
      </c>
      <c r="O33" s="3233" t="s">
        <v>2985</v>
      </c>
      <c r="P33" s="3233" t="s">
        <v>2986</v>
      </c>
      <c r="Q33" s="3233" t="s">
        <v>2987</v>
      </c>
    </row>
    <row r="34" spans="1:17" ht="14.25" customHeight="1">
      <c r="A34" s="3233" t="s">
        <v>296</v>
      </c>
      <c r="B34" s="3234" t="s">
        <v>156</v>
      </c>
      <c r="C34" s="3233">
        <v>23090</v>
      </c>
      <c r="D34" s="3233">
        <v>23390</v>
      </c>
      <c r="E34" s="3233">
        <v>23510</v>
      </c>
      <c r="F34" s="3233">
        <v>6700</v>
      </c>
      <c r="G34" s="3246">
        <v>16370</v>
      </c>
      <c r="M34" s="3233" t="s">
        <v>2988</v>
      </c>
      <c r="N34" s="3233" t="s">
        <v>302</v>
      </c>
      <c r="O34" s="3233" t="s">
        <v>2989</v>
      </c>
      <c r="P34" s="3233" t="s">
        <v>2990</v>
      </c>
      <c r="Q34" s="3233" t="s">
        <v>2991</v>
      </c>
    </row>
    <row r="35" spans="1:17" ht="14.25" customHeight="1">
      <c r="A35" s="3233" t="s">
        <v>296</v>
      </c>
      <c r="B35" s="3234" t="s">
        <v>163</v>
      </c>
      <c r="C35" s="3233">
        <v>27270</v>
      </c>
      <c r="D35" s="3233">
        <v>24270</v>
      </c>
      <c r="E35" s="3233">
        <v>24950</v>
      </c>
      <c r="F35" s="3233">
        <v>6600</v>
      </c>
      <c r="G35" s="3246">
        <v>16990</v>
      </c>
      <c r="M35" s="3233" t="s">
        <v>2992</v>
      </c>
      <c r="N35" s="3233" t="s">
        <v>2993</v>
      </c>
      <c r="O35" s="3233" t="s">
        <v>2994</v>
      </c>
      <c r="P35" s="3233" t="s">
        <v>2995</v>
      </c>
      <c r="Q35" s="3233" t="s">
        <v>2996</v>
      </c>
    </row>
    <row r="36" spans="1:17" ht="14.25" customHeight="1">
      <c r="A36" s="3233" t="s">
        <v>296</v>
      </c>
      <c r="B36" s="3234" t="s">
        <v>169</v>
      </c>
      <c r="C36" s="3233">
        <v>23490</v>
      </c>
      <c r="D36" s="3233">
        <v>23020</v>
      </c>
      <c r="E36" s="3233">
        <v>25230</v>
      </c>
      <c r="F36" s="3233">
        <v>6780</v>
      </c>
      <c r="G36" s="3246">
        <v>16120</v>
      </c>
      <c r="M36" s="3233" t="s">
        <v>2997</v>
      </c>
      <c r="N36" s="3233" t="s">
        <v>2998</v>
      </c>
      <c r="O36" s="3233" t="s">
        <v>2999</v>
      </c>
      <c r="P36" s="3233" t="s">
        <v>3000</v>
      </c>
      <c r="Q36" s="3233" t="s">
        <v>3001</v>
      </c>
    </row>
    <row r="37" spans="1:17" ht="14.25" customHeight="1">
      <c r="A37" s="3233" t="s">
        <v>296</v>
      </c>
      <c r="B37" s="3234" t="s">
        <v>176</v>
      </c>
      <c r="C37" s="3233">
        <v>24380</v>
      </c>
      <c r="D37" s="3233">
        <v>22240</v>
      </c>
      <c r="E37" s="3233">
        <v>25980</v>
      </c>
      <c r="F37" s="3233">
        <v>8160</v>
      </c>
      <c r="G37" s="3246">
        <v>15570</v>
      </c>
      <c r="M37" s="3233" t="s">
        <v>3002</v>
      </c>
      <c r="N37" s="3233" t="s">
        <v>3003</v>
      </c>
      <c r="O37" s="3233" t="s">
        <v>3004</v>
      </c>
      <c r="P37" s="3233" t="s">
        <v>3005</v>
      </c>
      <c r="Q37" s="3233" t="s">
        <v>3006</v>
      </c>
    </row>
    <row r="38" spans="1:17" ht="14.25" customHeight="1">
      <c r="A38" s="3233" t="s">
        <v>296</v>
      </c>
      <c r="B38" s="3234" t="s">
        <v>186</v>
      </c>
      <c r="C38" s="3233">
        <v>23120</v>
      </c>
      <c r="D38" s="3233">
        <v>24630</v>
      </c>
      <c r="E38" s="3233">
        <v>25030</v>
      </c>
      <c r="F38" s="3233">
        <v>7710</v>
      </c>
      <c r="G38" s="3246">
        <v>17240</v>
      </c>
      <c r="M38" s="3233" t="s">
        <v>3007</v>
      </c>
      <c r="N38" s="3233" t="s">
        <v>3008</v>
      </c>
      <c r="O38" s="3233" t="s">
        <v>3009</v>
      </c>
      <c r="P38" s="3233" t="s">
        <v>3010</v>
      </c>
      <c r="Q38" s="3233" t="s">
        <v>3011</v>
      </c>
    </row>
    <row r="39" spans="1:17" ht="14.25" customHeight="1">
      <c r="A39" s="3233" t="s">
        <v>296</v>
      </c>
      <c r="B39" s="3234" t="s">
        <v>195</v>
      </c>
      <c r="C39" s="3233">
        <v>22330</v>
      </c>
      <c r="D39" s="3233">
        <v>21140</v>
      </c>
      <c r="E39" s="3233">
        <v>23970</v>
      </c>
      <c r="F39" s="3233">
        <v>7940</v>
      </c>
      <c r="G39" s="3246">
        <v>14790</v>
      </c>
      <c r="M39" s="3233" t="s">
        <v>3012</v>
      </c>
      <c r="N39" s="3233" t="s">
        <v>3013</v>
      </c>
      <c r="O39" s="3233" t="s">
        <v>3014</v>
      </c>
      <c r="P39" s="3233" t="s">
        <v>3015</v>
      </c>
      <c r="Q39" s="3233" t="s">
        <v>3016</v>
      </c>
    </row>
    <row r="40" spans="1:17" ht="14.25" customHeight="1">
      <c r="A40" s="3233" t="s">
        <v>296</v>
      </c>
      <c r="B40" s="3234" t="s">
        <v>202</v>
      </c>
      <c r="C40" s="3233">
        <v>24740</v>
      </c>
      <c r="D40" s="3233">
        <v>24690</v>
      </c>
      <c r="E40" s="3233">
        <v>22610</v>
      </c>
      <c r="F40" s="3233"/>
      <c r="G40" s="3246">
        <v>17280</v>
      </c>
      <c r="M40" s="3233" t="s">
        <v>3017</v>
      </c>
      <c r="N40" s="3233" t="s">
        <v>3018</v>
      </c>
      <c r="O40" s="3233" t="s">
        <v>3019</v>
      </c>
      <c r="P40" s="3233" t="s">
        <v>3020</v>
      </c>
      <c r="Q40" s="3233" t="s">
        <v>3021</v>
      </c>
    </row>
    <row r="41" spans="1:17" ht="14.25" customHeight="1" thickBot="1">
      <c r="A41" s="3233" t="s">
        <v>296</v>
      </c>
      <c r="B41" s="3234" t="s">
        <v>209</v>
      </c>
      <c r="C41" s="3233">
        <v>21220</v>
      </c>
      <c r="D41" s="3233">
        <v>21120</v>
      </c>
      <c r="E41" s="3233">
        <v>22590</v>
      </c>
      <c r="F41" s="3233"/>
      <c r="G41" s="3246">
        <v>14780</v>
      </c>
      <c r="M41" s="3240" t="s">
        <v>3022</v>
      </c>
      <c r="N41" s="3233" t="s">
        <v>3023</v>
      </c>
      <c r="O41" s="3233" t="s">
        <v>3024</v>
      </c>
      <c r="P41" s="3233" t="s">
        <v>3025</v>
      </c>
      <c r="Q41" s="3233" t="s">
        <v>3026</v>
      </c>
    </row>
    <row r="42" spans="1:17" ht="14.25" customHeight="1">
      <c r="A42" s="3233" t="s">
        <v>296</v>
      </c>
      <c r="B42" s="3234" t="s">
        <v>215</v>
      </c>
      <c r="C42" s="3233">
        <v>24800</v>
      </c>
      <c r="D42" s="3233">
        <v>22280</v>
      </c>
      <c r="E42" s="3233">
        <v>24350</v>
      </c>
      <c r="F42" s="3233"/>
      <c r="G42" s="3246">
        <v>15590</v>
      </c>
      <c r="N42" s="3233" t="s">
        <v>3027</v>
      </c>
      <c r="O42" s="3233" t="s">
        <v>3028</v>
      </c>
      <c r="P42" s="3233" t="s">
        <v>3029</v>
      </c>
      <c r="Q42" s="3233" t="s">
        <v>3030</v>
      </c>
    </row>
    <row r="43" spans="1:17" ht="14.25" customHeight="1">
      <c r="A43" s="3233" t="s">
        <v>3031</v>
      </c>
      <c r="B43" s="3234" t="s">
        <v>223</v>
      </c>
      <c r="C43" s="3233">
        <v>21210</v>
      </c>
      <c r="D43" s="3233">
        <v>21160</v>
      </c>
      <c r="E43" s="3233">
        <v>22650</v>
      </c>
      <c r="F43" s="3233"/>
      <c r="G43" s="3246">
        <v>14800</v>
      </c>
      <c r="N43" s="3233" t="s">
        <v>3032</v>
      </c>
      <c r="O43" s="3233" t="s">
        <v>3033</v>
      </c>
      <c r="P43" s="3233" t="s">
        <v>3034</v>
      </c>
      <c r="Q43" s="3233" t="s">
        <v>3035</v>
      </c>
    </row>
    <row r="44" spans="1:17" ht="14.25" customHeight="1" thickBot="1">
      <c r="A44" s="3233" t="s">
        <v>296</v>
      </c>
      <c r="B44" s="3234" t="s">
        <v>231</v>
      </c>
      <c r="C44" s="3233">
        <v>22370</v>
      </c>
      <c r="D44" s="3233">
        <v>23140</v>
      </c>
      <c r="E44" s="3233">
        <v>25090</v>
      </c>
      <c r="F44" s="3233"/>
      <c r="G44" s="3246">
        <v>16190</v>
      </c>
      <c r="N44" s="3233" t="s">
        <v>3036</v>
      </c>
      <c r="O44" s="3233" t="s">
        <v>3037</v>
      </c>
      <c r="P44" s="3240" t="s">
        <v>3038</v>
      </c>
      <c r="Q44" s="3233" t="s">
        <v>3039</v>
      </c>
    </row>
    <row r="45" spans="1:17" ht="14.25" customHeight="1" thickBot="1">
      <c r="A45" s="3233" t="s">
        <v>296</v>
      </c>
      <c r="B45" s="3234" t="s">
        <v>236</v>
      </c>
      <c r="C45" s="3233">
        <v>21240</v>
      </c>
      <c r="D45" s="3233">
        <v>27050</v>
      </c>
      <c r="E45" s="3233">
        <v>28000</v>
      </c>
      <c r="F45" s="3233"/>
      <c r="G45" s="3246">
        <v>18940</v>
      </c>
      <c r="N45" s="3233" t="s">
        <v>3040</v>
      </c>
      <c r="O45" s="3240" t="s">
        <v>3041</v>
      </c>
      <c r="Q45" s="3233" t="s">
        <v>3042</v>
      </c>
    </row>
    <row r="46" spans="1:17" ht="14.25" customHeight="1">
      <c r="A46" s="3233" t="s">
        <v>296</v>
      </c>
      <c r="B46" s="3234" t="s">
        <v>245</v>
      </c>
      <c r="C46" s="3233">
        <v>23240</v>
      </c>
      <c r="D46" s="3233">
        <v>23000</v>
      </c>
      <c r="E46" s="3233">
        <v>24980</v>
      </c>
      <c r="F46" s="3233"/>
      <c r="G46" s="3246">
        <v>16100</v>
      </c>
      <c r="N46" s="3233" t="s">
        <v>3043</v>
      </c>
      <c r="Q46" s="3233" t="s">
        <v>3044</v>
      </c>
    </row>
    <row r="47" spans="1:17" ht="14.25" customHeight="1">
      <c r="A47" s="3233" t="s">
        <v>296</v>
      </c>
      <c r="B47" s="3234" t="s">
        <v>252</v>
      </c>
      <c r="C47" s="3233">
        <v>27150</v>
      </c>
      <c r="D47" s="3233">
        <v>23310</v>
      </c>
      <c r="E47" s="3233">
        <v>25150</v>
      </c>
      <c r="F47" s="3233"/>
      <c r="G47" s="3246">
        <v>16310</v>
      </c>
      <c r="N47" s="3233" t="s">
        <v>3045</v>
      </c>
      <c r="Q47" s="3233" t="s">
        <v>3046</v>
      </c>
    </row>
    <row r="48" spans="1:17" ht="14.25" customHeight="1">
      <c r="A48" s="3233" t="s">
        <v>296</v>
      </c>
      <c r="B48" s="3234" t="s">
        <v>260</v>
      </c>
      <c r="C48" s="3233">
        <v>23100</v>
      </c>
      <c r="D48" s="3233">
        <v>21110</v>
      </c>
      <c r="E48" s="3233">
        <v>23080</v>
      </c>
      <c r="F48" s="3233"/>
      <c r="G48" s="3246">
        <v>14780</v>
      </c>
      <c r="N48" s="3233" t="s">
        <v>3047</v>
      </c>
      <c r="Q48" s="3233" t="s">
        <v>3048</v>
      </c>
    </row>
    <row r="49" spans="1:17" ht="14.25" customHeight="1">
      <c r="A49" s="3233" t="s">
        <v>296</v>
      </c>
      <c r="B49" s="3234" t="s">
        <v>267</v>
      </c>
      <c r="C49" s="3233">
        <v>23400</v>
      </c>
      <c r="D49" s="3233">
        <v>22920</v>
      </c>
      <c r="E49" s="3233">
        <v>24900</v>
      </c>
      <c r="F49" s="3233"/>
      <c r="G49" s="3246">
        <v>16040</v>
      </c>
      <c r="N49" s="3233" t="s">
        <v>3049</v>
      </c>
      <c r="Q49" s="3233" t="s">
        <v>3050</v>
      </c>
    </row>
    <row r="50" spans="1:17" ht="14.25" customHeight="1">
      <c r="A50" s="3233" t="s">
        <v>296</v>
      </c>
      <c r="B50" s="3234" t="s">
        <v>2927</v>
      </c>
      <c r="C50" s="3233">
        <v>21200</v>
      </c>
      <c r="D50" s="3233">
        <v>26540</v>
      </c>
      <c r="E50" s="3233">
        <v>23200</v>
      </c>
      <c r="F50" s="3233"/>
      <c r="G50" s="3246">
        <v>18580</v>
      </c>
      <c r="N50" s="3233" t="s">
        <v>3051</v>
      </c>
      <c r="Q50" s="3234" t="s">
        <v>3052</v>
      </c>
    </row>
    <row r="51" spans="1:17" ht="14.25" customHeight="1" thickBot="1">
      <c r="A51" s="3233" t="s">
        <v>296</v>
      </c>
      <c r="B51" s="3234" t="s">
        <v>2929</v>
      </c>
      <c r="C51" s="3233">
        <v>23000</v>
      </c>
      <c r="D51" s="3233">
        <v>23460</v>
      </c>
      <c r="E51" s="3233">
        <v>25290</v>
      </c>
      <c r="F51" s="3233"/>
      <c r="G51" s="3246">
        <v>16420</v>
      </c>
      <c r="N51" s="3233" t="s">
        <v>3053</v>
      </c>
      <c r="Q51" s="3240" t="s">
        <v>3054</v>
      </c>
    </row>
    <row r="52" spans="1:17" ht="14.25" customHeight="1">
      <c r="A52" s="3233" t="s">
        <v>296</v>
      </c>
      <c r="B52" s="3234" t="s">
        <v>2933</v>
      </c>
      <c r="C52" s="3233">
        <v>26660</v>
      </c>
      <c r="D52" s="3233">
        <v>22350</v>
      </c>
      <c r="E52" s="3233">
        <v>22920</v>
      </c>
      <c r="F52" s="3233"/>
      <c r="G52" s="3246">
        <v>15640</v>
      </c>
      <c r="N52" s="3233" t="s">
        <v>3055</v>
      </c>
    </row>
    <row r="53" spans="1:17" ht="14.25" customHeight="1">
      <c r="A53" s="3233" t="s">
        <v>296</v>
      </c>
      <c r="B53" s="3234" t="s">
        <v>2938</v>
      </c>
      <c r="C53" s="3233">
        <v>23580</v>
      </c>
      <c r="D53" s="3233"/>
      <c r="E53" s="3233">
        <v>24280</v>
      </c>
      <c r="F53" s="3233"/>
      <c r="G53" s="3246"/>
      <c r="N53" s="3233" t="s">
        <v>3056</v>
      </c>
    </row>
    <row r="54" spans="1:17" ht="14.25" customHeight="1" thickBot="1">
      <c r="A54" s="3247" t="s">
        <v>296</v>
      </c>
      <c r="B54" s="3239" t="s">
        <v>2941</v>
      </c>
      <c r="C54" s="3240">
        <v>22460</v>
      </c>
      <c r="D54" s="3240"/>
      <c r="E54" s="3240"/>
      <c r="F54" s="3240"/>
      <c r="G54" s="3248"/>
      <c r="N54" s="3233" t="s">
        <v>3057</v>
      </c>
    </row>
    <row r="55" spans="1:17" ht="14.25" customHeight="1">
      <c r="A55" s="3238" t="s">
        <v>110</v>
      </c>
      <c r="B55" s="3229" t="s">
        <v>3058</v>
      </c>
      <c r="C55" s="3233">
        <v>21970</v>
      </c>
      <c r="D55" s="3233">
        <v>20370</v>
      </c>
      <c r="E55" s="3233">
        <v>20180</v>
      </c>
      <c r="F55" s="3233">
        <v>5730</v>
      </c>
      <c r="G55" s="3233">
        <v>13820</v>
      </c>
      <c r="N55" s="3233" t="s">
        <v>3059</v>
      </c>
    </row>
    <row r="56" spans="1:17" ht="14.25" customHeight="1">
      <c r="A56" s="3233" t="s">
        <v>110</v>
      </c>
      <c r="B56" s="3233" t="s">
        <v>130</v>
      </c>
      <c r="C56" s="3233">
        <v>20470</v>
      </c>
      <c r="D56" s="3233">
        <v>20700</v>
      </c>
      <c r="E56" s="3233">
        <v>20380</v>
      </c>
      <c r="F56" s="3233">
        <v>4760</v>
      </c>
      <c r="G56" s="3233">
        <v>14050</v>
      </c>
      <c r="N56" s="3233" t="s">
        <v>3060</v>
      </c>
    </row>
    <row r="57" spans="1:17" ht="14.25" customHeight="1">
      <c r="A57" s="3233" t="s">
        <v>110</v>
      </c>
      <c r="B57" s="3233" t="s">
        <v>139</v>
      </c>
      <c r="C57" s="3233">
        <v>20790</v>
      </c>
      <c r="D57" s="3233">
        <v>21370</v>
      </c>
      <c r="E57" s="3233">
        <v>20890</v>
      </c>
      <c r="F57" s="3233">
        <v>4910</v>
      </c>
      <c r="G57" s="3233">
        <v>14510</v>
      </c>
      <c r="N57" s="3233" t="s">
        <v>3061</v>
      </c>
    </row>
    <row r="58" spans="1:17" ht="14.25" customHeight="1">
      <c r="A58" s="3233" t="s">
        <v>110</v>
      </c>
      <c r="B58" s="3233" t="s">
        <v>148</v>
      </c>
      <c r="C58" s="3233">
        <v>21460</v>
      </c>
      <c r="D58" s="3233">
        <v>20920</v>
      </c>
      <c r="E58" s="3233">
        <v>23410</v>
      </c>
      <c r="F58" s="3233">
        <v>5100</v>
      </c>
      <c r="G58" s="3233">
        <v>14200</v>
      </c>
      <c r="N58" s="3233" t="s">
        <v>3062</v>
      </c>
    </row>
    <row r="59" spans="1:17" ht="14.25" customHeight="1">
      <c r="A59" s="3233" t="s">
        <v>110</v>
      </c>
      <c r="B59" s="3233" t="s">
        <v>157</v>
      </c>
      <c r="C59" s="3233">
        <v>21000</v>
      </c>
      <c r="D59" s="3233">
        <v>21550</v>
      </c>
      <c r="E59" s="3233">
        <v>21150</v>
      </c>
      <c r="F59" s="3233">
        <v>5250</v>
      </c>
      <c r="G59" s="3233">
        <v>14630</v>
      </c>
      <c r="N59" s="3233" t="s">
        <v>3063</v>
      </c>
    </row>
    <row r="60" spans="1:17" ht="14.25" customHeight="1">
      <c r="A60" s="3233" t="s">
        <v>110</v>
      </c>
      <c r="B60" s="3233" t="s">
        <v>164</v>
      </c>
      <c r="C60" s="3233">
        <v>21640</v>
      </c>
      <c r="D60" s="3233">
        <v>21260</v>
      </c>
      <c r="E60" s="3233">
        <v>24040</v>
      </c>
      <c r="F60" s="3233">
        <v>4470</v>
      </c>
      <c r="G60" s="3233">
        <v>14430</v>
      </c>
      <c r="N60" s="3233" t="s">
        <v>3064</v>
      </c>
    </row>
    <row r="61" spans="1:17" ht="14.25" customHeight="1">
      <c r="A61" s="3233" t="s">
        <v>110</v>
      </c>
      <c r="B61" s="3233" t="s">
        <v>170</v>
      </c>
      <c r="C61" s="3233">
        <v>21330</v>
      </c>
      <c r="D61" s="3233">
        <v>18640</v>
      </c>
      <c r="E61" s="3233">
        <v>21190</v>
      </c>
      <c r="F61" s="3233">
        <v>4180</v>
      </c>
      <c r="G61" s="3233">
        <v>12650</v>
      </c>
      <c r="N61" s="3233" t="s">
        <v>3065</v>
      </c>
    </row>
    <row r="62" spans="1:17" ht="14.25" customHeight="1">
      <c r="A62" s="3233" t="s">
        <v>110</v>
      </c>
      <c r="B62" s="3233" t="s">
        <v>177</v>
      </c>
      <c r="C62" s="3233">
        <v>18710</v>
      </c>
      <c r="D62" s="3233">
        <v>19400</v>
      </c>
      <c r="E62" s="3233">
        <v>23750</v>
      </c>
      <c r="F62" s="3233">
        <v>4860</v>
      </c>
      <c r="G62" s="3233">
        <v>13170</v>
      </c>
      <c r="N62" s="3233" t="s">
        <v>3066</v>
      </c>
    </row>
    <row r="63" spans="1:17" ht="14.25" customHeight="1">
      <c r="A63" s="3233" t="s">
        <v>110</v>
      </c>
      <c r="B63" s="3233" t="s">
        <v>187</v>
      </c>
      <c r="C63" s="3233">
        <v>19480</v>
      </c>
      <c r="D63" s="3233">
        <v>16830</v>
      </c>
      <c r="E63" s="3233">
        <v>21590</v>
      </c>
      <c r="F63" s="3233">
        <v>4560</v>
      </c>
      <c r="G63" s="3233">
        <v>11420</v>
      </c>
      <c r="N63" s="3233" t="s">
        <v>3067</v>
      </c>
    </row>
    <row r="64" spans="1:17" ht="14.25" customHeight="1" thickBot="1">
      <c r="A64" s="3233" t="s">
        <v>110</v>
      </c>
      <c r="B64" s="3233" t="s">
        <v>196</v>
      </c>
      <c r="C64" s="3233">
        <v>16920</v>
      </c>
      <c r="D64" s="3233">
        <v>19190</v>
      </c>
      <c r="E64" s="3233">
        <v>22200</v>
      </c>
      <c r="F64" s="3233">
        <v>4390</v>
      </c>
      <c r="G64" s="3233">
        <v>13030</v>
      </c>
      <c r="N64" s="3240" t="s">
        <v>3068</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2939</v>
      </c>
      <c r="C78" s="3233">
        <v>19820</v>
      </c>
      <c r="D78" s="3233">
        <v>19780</v>
      </c>
      <c r="E78" s="3233">
        <v>18560</v>
      </c>
      <c r="F78" s="3233"/>
      <c r="G78" s="3233">
        <v>13430</v>
      </c>
    </row>
    <row r="79" spans="1:7" s="3222" customFormat="1" ht="14.25" customHeight="1">
      <c r="A79" s="3233" t="s">
        <v>110</v>
      </c>
      <c r="B79" s="3233" t="s">
        <v>2942</v>
      </c>
      <c r="C79" s="3233">
        <v>21660</v>
      </c>
      <c r="D79" s="3233">
        <v>18000</v>
      </c>
      <c r="E79" s="3233">
        <v>22570</v>
      </c>
      <c r="F79" s="3233"/>
      <c r="G79" s="3233">
        <v>12220</v>
      </c>
    </row>
    <row r="80" spans="1:7" s="3222" customFormat="1" ht="14.25" customHeight="1">
      <c r="A80" s="3233" t="s">
        <v>110</v>
      </c>
      <c r="B80" s="3233" t="s">
        <v>2946</v>
      </c>
      <c r="C80" s="3233">
        <v>19850</v>
      </c>
      <c r="D80" s="3233"/>
      <c r="E80" s="3233">
        <v>21700</v>
      </c>
      <c r="F80" s="3233"/>
      <c r="G80" s="3233"/>
    </row>
    <row r="81" spans="1:7" s="3222" customFormat="1" ht="14.25" customHeight="1">
      <c r="A81" s="3233" t="s">
        <v>110</v>
      </c>
      <c r="B81" s="3233" t="s">
        <v>2951</v>
      </c>
      <c r="C81" s="3233">
        <v>18080</v>
      </c>
      <c r="D81" s="3233"/>
      <c r="E81" s="3233">
        <v>20900</v>
      </c>
      <c r="F81" s="3233"/>
      <c r="G81" s="3233"/>
    </row>
    <row r="82" spans="1:7" s="3222" customFormat="1" ht="14.25" customHeight="1">
      <c r="A82" s="3233" t="s">
        <v>110</v>
      </c>
      <c r="B82" s="3233" t="s">
        <v>2958</v>
      </c>
      <c r="C82" s="3233"/>
      <c r="D82" s="3233"/>
      <c r="E82" s="3233">
        <v>20840</v>
      </c>
      <c r="F82" s="3233"/>
      <c r="G82" s="3233"/>
    </row>
    <row r="83" spans="1:7" s="3222" customFormat="1" ht="14.25" customHeight="1">
      <c r="A83" s="3233" t="s">
        <v>110</v>
      </c>
      <c r="B83" s="3233" t="s">
        <v>3069</v>
      </c>
      <c r="C83" s="3233"/>
      <c r="D83" s="3233"/>
      <c r="E83" s="3233"/>
      <c r="F83" s="3233">
        <v>4770</v>
      </c>
      <c r="G83" s="3233"/>
    </row>
    <row r="84" spans="1:7" s="3222" customFormat="1" ht="14.25" customHeight="1">
      <c r="A84" s="3233" t="s">
        <v>110</v>
      </c>
      <c r="B84" s="3233" t="s">
        <v>3070</v>
      </c>
      <c r="C84" s="3233"/>
      <c r="D84" s="3233"/>
      <c r="E84" s="3233"/>
      <c r="F84" s="3233">
        <v>4600</v>
      </c>
      <c r="G84" s="3233"/>
    </row>
    <row r="85" spans="1:7" s="3222" customFormat="1" ht="14.25" customHeight="1">
      <c r="A85" s="3233" t="s">
        <v>110</v>
      </c>
      <c r="B85" s="3233" t="s">
        <v>3071</v>
      </c>
      <c r="C85" s="3233"/>
      <c r="D85" s="3233"/>
      <c r="E85" s="3233"/>
      <c r="F85" s="3233">
        <v>4680</v>
      </c>
      <c r="G85" s="3233"/>
    </row>
    <row r="86" spans="1:7" s="3222" customFormat="1" ht="14.25" customHeight="1" thickBot="1">
      <c r="A86" s="3241" t="s">
        <v>110</v>
      </c>
      <c r="B86" s="3243" t="s">
        <v>3072</v>
      </c>
      <c r="C86" s="3244">
        <v>16610</v>
      </c>
      <c r="D86" s="3244">
        <v>16540</v>
      </c>
      <c r="E86" s="3244">
        <v>18850</v>
      </c>
      <c r="F86" s="3244"/>
      <c r="G86" s="3244">
        <v>11220</v>
      </c>
    </row>
    <row r="87" spans="1:7" s="3222" customFormat="1" ht="14.25" customHeight="1">
      <c r="A87" s="3238" t="s">
        <v>303</v>
      </c>
      <c r="B87" s="3229" t="s">
        <v>3073</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2952</v>
      </c>
      <c r="C113" s="3233">
        <v>15520</v>
      </c>
      <c r="D113" s="3233">
        <v>15450</v>
      </c>
      <c r="E113" s="3233"/>
      <c r="F113" s="3233"/>
      <c r="G113" s="3246">
        <v>10210</v>
      </c>
    </row>
    <row r="114" spans="1:7" s="3222" customFormat="1" ht="14.25" customHeight="1">
      <c r="A114" s="3233" t="s">
        <v>303</v>
      </c>
      <c r="B114" s="3233" t="s">
        <v>2959</v>
      </c>
      <c r="C114" s="3233">
        <v>13110</v>
      </c>
      <c r="D114" s="3233">
        <v>13050</v>
      </c>
      <c r="E114" s="3233"/>
      <c r="F114" s="3233"/>
      <c r="G114" s="3246">
        <v>8620</v>
      </c>
    </row>
    <row r="115" spans="1:7" s="3222" customFormat="1" ht="14.25" customHeight="1">
      <c r="A115" s="3233" t="s">
        <v>303</v>
      </c>
      <c r="B115" s="3233" t="s">
        <v>2965</v>
      </c>
      <c r="C115" s="3233">
        <v>12460</v>
      </c>
      <c r="D115" s="3233">
        <v>12390</v>
      </c>
      <c r="E115" s="3233"/>
      <c r="F115" s="3233"/>
      <c r="G115" s="3246">
        <v>8190</v>
      </c>
    </row>
    <row r="116" spans="1:7" s="3222" customFormat="1" ht="14.25" customHeight="1">
      <c r="A116" s="3233" t="s">
        <v>303</v>
      </c>
      <c r="B116" s="3233" t="s">
        <v>2972</v>
      </c>
      <c r="C116" s="3233">
        <v>13580</v>
      </c>
      <c r="D116" s="3233">
        <v>13520</v>
      </c>
      <c r="E116" s="3233"/>
      <c r="F116" s="3233"/>
      <c r="G116" s="3246">
        <v>8930</v>
      </c>
    </row>
    <row r="117" spans="1:7" s="3222" customFormat="1" ht="14.25" customHeight="1">
      <c r="A117" s="3233" t="s">
        <v>303</v>
      </c>
      <c r="B117" s="3233" t="s">
        <v>2979</v>
      </c>
      <c r="C117" s="3233">
        <v>17120</v>
      </c>
      <c r="D117" s="3233">
        <v>17040</v>
      </c>
      <c r="E117" s="3233"/>
      <c r="F117" s="3233"/>
      <c r="G117" s="3246">
        <v>11260</v>
      </c>
    </row>
    <row r="118" spans="1:7" s="3222" customFormat="1" ht="14.25" customHeight="1">
      <c r="A118" s="3233" t="s">
        <v>303</v>
      </c>
      <c r="B118" s="3233" t="s">
        <v>2984</v>
      </c>
      <c r="C118" s="3233">
        <v>14860</v>
      </c>
      <c r="D118" s="3233">
        <v>14790</v>
      </c>
      <c r="E118" s="3233"/>
      <c r="F118" s="3233"/>
      <c r="G118" s="3246">
        <v>9780</v>
      </c>
    </row>
    <row r="119" spans="1:7" s="3222" customFormat="1" ht="14.25" customHeight="1">
      <c r="A119" s="3233" t="s">
        <v>303</v>
      </c>
      <c r="B119" s="3233" t="s">
        <v>2988</v>
      </c>
      <c r="C119" s="3233">
        <v>16470</v>
      </c>
      <c r="D119" s="3233">
        <v>16400</v>
      </c>
      <c r="E119" s="3233"/>
      <c r="F119" s="3233"/>
      <c r="G119" s="3246">
        <v>10840</v>
      </c>
    </row>
    <row r="120" spans="1:7" s="3222" customFormat="1" ht="14.25" customHeight="1">
      <c r="A120" s="3233" t="s">
        <v>303</v>
      </c>
      <c r="B120" s="3233" t="s">
        <v>3074</v>
      </c>
      <c r="C120" s="3233"/>
      <c r="D120" s="3233"/>
      <c r="E120" s="3233"/>
      <c r="F120" s="3233">
        <v>4160</v>
      </c>
      <c r="G120" s="3246"/>
    </row>
    <row r="121" spans="1:7" s="3222" customFormat="1" ht="14.25" customHeight="1">
      <c r="A121" s="3233" t="s">
        <v>303</v>
      </c>
      <c r="B121" s="3233" t="s">
        <v>3075</v>
      </c>
      <c r="C121" s="3233"/>
      <c r="D121" s="3233"/>
      <c r="E121" s="3233"/>
      <c r="F121" s="3233">
        <v>3880</v>
      </c>
      <c r="G121" s="3246"/>
    </row>
    <row r="122" spans="1:7" s="3222" customFormat="1" ht="14.25" customHeight="1">
      <c r="A122" s="3233" t="s">
        <v>303</v>
      </c>
      <c r="B122" s="3233" t="s">
        <v>3076</v>
      </c>
      <c r="C122" s="3233">
        <v>13750</v>
      </c>
      <c r="D122" s="3233">
        <v>13680</v>
      </c>
      <c r="E122" s="3233">
        <v>16460</v>
      </c>
      <c r="F122" s="3233">
        <v>2880</v>
      </c>
      <c r="G122" s="3246">
        <v>9040</v>
      </c>
    </row>
    <row r="123" spans="1:7" s="3222" customFormat="1" ht="14.25" customHeight="1">
      <c r="A123" s="3233" t="s">
        <v>303</v>
      </c>
      <c r="B123" s="3233" t="s">
        <v>3007</v>
      </c>
      <c r="C123" s="3233">
        <v>13590</v>
      </c>
      <c r="D123" s="3233">
        <v>13520</v>
      </c>
      <c r="E123" s="3233">
        <v>16290</v>
      </c>
      <c r="F123" s="3233">
        <v>2790</v>
      </c>
      <c r="G123" s="3246">
        <v>8930</v>
      </c>
    </row>
    <row r="124" spans="1:7" s="3222" customFormat="1" ht="14.25" customHeight="1">
      <c r="A124" s="3233" t="s">
        <v>303</v>
      </c>
      <c r="B124" s="3233" t="s">
        <v>3012</v>
      </c>
      <c r="C124" s="3233">
        <v>13400</v>
      </c>
      <c r="D124" s="3233">
        <v>13320</v>
      </c>
      <c r="E124" s="3233">
        <v>16100</v>
      </c>
      <c r="F124" s="3233">
        <v>2320</v>
      </c>
      <c r="G124" s="3246">
        <v>8800</v>
      </c>
    </row>
    <row r="125" spans="1:7" s="3222" customFormat="1" ht="14.25" customHeight="1">
      <c r="A125" s="3233" t="s">
        <v>303</v>
      </c>
      <c r="B125" s="3233" t="s">
        <v>3017</v>
      </c>
      <c r="C125" s="3233">
        <v>12860</v>
      </c>
      <c r="D125" s="3233">
        <v>12790</v>
      </c>
      <c r="E125" s="3233">
        <v>15370</v>
      </c>
      <c r="F125" s="3233">
        <v>2280</v>
      </c>
      <c r="G125" s="3246">
        <v>8450</v>
      </c>
    </row>
    <row r="126" spans="1:7" s="3222" customFormat="1" ht="14.25" customHeight="1" thickBot="1">
      <c r="A126" s="3247" t="s">
        <v>303</v>
      </c>
      <c r="B126" s="3240" t="s">
        <v>3022</v>
      </c>
      <c r="C126" s="3240">
        <v>12960</v>
      </c>
      <c r="D126" s="3240">
        <v>12890</v>
      </c>
      <c r="E126" s="3240">
        <v>15530</v>
      </c>
      <c r="F126" s="3240">
        <v>2910</v>
      </c>
      <c r="G126" s="3248">
        <v>8520</v>
      </c>
    </row>
    <row r="127" spans="1:7" s="3222" customFormat="1" ht="14.25" customHeight="1">
      <c r="A127" s="3238" t="s">
        <v>29</v>
      </c>
      <c r="B127" s="3229" t="s">
        <v>3077</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3078</v>
      </c>
      <c r="C148" s="3233">
        <v>10370</v>
      </c>
      <c r="D148" s="3233">
        <v>10310</v>
      </c>
      <c r="E148" s="3233">
        <v>12970</v>
      </c>
      <c r="F148" s="3233"/>
      <c r="G148" s="3233">
        <v>6630</v>
      </c>
    </row>
    <row r="149" spans="1:7" s="3222" customFormat="1" ht="14.25" customHeight="1">
      <c r="A149" s="3233" t="s">
        <v>29</v>
      </c>
      <c r="B149" s="3233" t="s">
        <v>3079</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2953</v>
      </c>
      <c r="C153" s="3233">
        <v>10880</v>
      </c>
      <c r="D153" s="3233">
        <v>10820</v>
      </c>
      <c r="E153" s="3233">
        <v>13660</v>
      </c>
      <c r="F153" s="3233">
        <v>2260</v>
      </c>
      <c r="G153" s="3233">
        <v>6970</v>
      </c>
    </row>
    <row r="154" spans="1:7" s="3222" customFormat="1" ht="14.25" customHeight="1">
      <c r="A154" s="3233" t="s">
        <v>29</v>
      </c>
      <c r="B154" s="3233" t="s">
        <v>3080</v>
      </c>
      <c r="C154" s="3233">
        <v>11220</v>
      </c>
      <c r="D154" s="3233">
        <v>11160</v>
      </c>
      <c r="E154" s="3233">
        <v>14130</v>
      </c>
      <c r="F154" s="3233">
        <v>2230</v>
      </c>
      <c r="G154" s="3233">
        <v>7180</v>
      </c>
    </row>
    <row r="155" spans="1:7" s="3222" customFormat="1" ht="14.25" customHeight="1">
      <c r="A155" s="3233" t="s">
        <v>29</v>
      </c>
      <c r="B155" s="3233" t="s">
        <v>2966</v>
      </c>
      <c r="C155" s="3233">
        <v>10430</v>
      </c>
      <c r="D155" s="3233">
        <v>10380</v>
      </c>
      <c r="E155" s="3233">
        <v>13140</v>
      </c>
      <c r="F155" s="3233">
        <v>2080</v>
      </c>
      <c r="G155" s="3233">
        <v>6650</v>
      </c>
    </row>
    <row r="156" spans="1:7" s="3222" customFormat="1" ht="14.25" customHeight="1">
      <c r="A156" s="3233" t="s">
        <v>29</v>
      </c>
      <c r="B156" s="3233" t="s">
        <v>3081</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3082</v>
      </c>
      <c r="C160" s="3233">
        <v>11180</v>
      </c>
      <c r="D160" s="3233">
        <v>11140</v>
      </c>
      <c r="E160" s="3233">
        <v>14050</v>
      </c>
      <c r="F160" s="3233">
        <v>2270</v>
      </c>
      <c r="G160" s="3233">
        <v>7170</v>
      </c>
    </row>
    <row r="161" spans="1:7" s="3222" customFormat="1" ht="14.25" customHeight="1">
      <c r="A161" s="3233" t="s">
        <v>29</v>
      </c>
      <c r="B161" s="3233" t="s">
        <v>2998</v>
      </c>
      <c r="C161" s="3233">
        <v>11160</v>
      </c>
      <c r="D161" s="3233">
        <v>11120</v>
      </c>
      <c r="E161" s="3233">
        <v>14020</v>
      </c>
      <c r="F161" s="3233">
        <v>2150</v>
      </c>
      <c r="G161" s="3233">
        <v>7160</v>
      </c>
    </row>
    <row r="162" spans="1:7" s="3222" customFormat="1" ht="14.25" customHeight="1">
      <c r="A162" s="3233" t="s">
        <v>29</v>
      </c>
      <c r="B162" s="3233" t="s">
        <v>3003</v>
      </c>
      <c r="C162" s="3233">
        <v>9620</v>
      </c>
      <c r="D162" s="3233">
        <v>9570</v>
      </c>
      <c r="E162" s="3233">
        <v>12320</v>
      </c>
      <c r="F162" s="3233">
        <v>2010</v>
      </c>
      <c r="G162" s="3233">
        <v>6160</v>
      </c>
    </row>
    <row r="163" spans="1:7" s="3222" customFormat="1" ht="14.25" customHeight="1">
      <c r="A163" s="3233" t="s">
        <v>29</v>
      </c>
      <c r="B163" s="3233" t="s">
        <v>3008</v>
      </c>
      <c r="C163" s="3233">
        <v>9320</v>
      </c>
      <c r="D163" s="3233">
        <v>9270</v>
      </c>
      <c r="E163" s="3233">
        <v>11790</v>
      </c>
      <c r="F163" s="3233">
        <v>1920</v>
      </c>
      <c r="G163" s="3233">
        <v>5960</v>
      </c>
    </row>
    <row r="164" spans="1:7" s="3222" customFormat="1" ht="14.25" customHeight="1">
      <c r="A164" s="3233" t="s">
        <v>29</v>
      </c>
      <c r="B164" s="3233" t="s">
        <v>3013</v>
      </c>
      <c r="C164" s="3233"/>
      <c r="D164" s="3233"/>
      <c r="E164" s="3233"/>
      <c r="F164" s="3233">
        <v>1980</v>
      </c>
      <c r="G164" s="3233"/>
    </row>
    <row r="165" spans="1:7" s="3222" customFormat="1" ht="14.25" customHeight="1">
      <c r="A165" s="3233" t="s">
        <v>29</v>
      </c>
      <c r="B165" s="3233" t="s">
        <v>3083</v>
      </c>
      <c r="C165" s="3233">
        <v>11060</v>
      </c>
      <c r="D165" s="3233">
        <v>11030</v>
      </c>
      <c r="E165" s="3233">
        <v>13850</v>
      </c>
      <c r="F165" s="3233">
        <v>2170</v>
      </c>
      <c r="G165" s="3233">
        <v>7090</v>
      </c>
    </row>
    <row r="166" spans="1:7" s="3222" customFormat="1" ht="14.25" customHeight="1">
      <c r="A166" s="3233" t="s">
        <v>29</v>
      </c>
      <c r="B166" s="3233" t="s">
        <v>3023</v>
      </c>
      <c r="C166" s="3233">
        <v>11050</v>
      </c>
      <c r="D166" s="3233">
        <v>11010</v>
      </c>
      <c r="E166" s="3233">
        <v>13920</v>
      </c>
      <c r="F166" s="3233">
        <v>2140</v>
      </c>
      <c r="G166" s="3233">
        <v>7080</v>
      </c>
    </row>
    <row r="167" spans="1:7" s="3222" customFormat="1" ht="14.25" customHeight="1">
      <c r="A167" s="3233" t="s">
        <v>29</v>
      </c>
      <c r="B167" s="3233" t="s">
        <v>3027</v>
      </c>
      <c r="C167" s="3233">
        <v>10930</v>
      </c>
      <c r="D167" s="3233">
        <v>10890</v>
      </c>
      <c r="E167" s="3233">
        <v>13790</v>
      </c>
      <c r="F167" s="3233">
        <v>2010</v>
      </c>
      <c r="G167" s="3233">
        <v>7000</v>
      </c>
    </row>
    <row r="168" spans="1:7" s="3222" customFormat="1" ht="14.25" customHeight="1">
      <c r="A168" s="3233" t="s">
        <v>29</v>
      </c>
      <c r="B168" s="3233" t="s">
        <v>3032</v>
      </c>
      <c r="C168" s="3233">
        <v>9420</v>
      </c>
      <c r="D168" s="3233">
        <v>9380</v>
      </c>
      <c r="E168" s="3233">
        <v>11970</v>
      </c>
      <c r="F168" s="3233"/>
      <c r="G168" s="3233">
        <v>6040</v>
      </c>
    </row>
    <row r="169" spans="1:7" s="3222" customFormat="1" ht="14.25" customHeight="1">
      <c r="A169" s="3233" t="s">
        <v>29</v>
      </c>
      <c r="B169" s="3233" t="s">
        <v>3084</v>
      </c>
      <c r="C169" s="3233"/>
      <c r="D169" s="3233"/>
      <c r="E169" s="3233"/>
      <c r="F169" s="3233">
        <v>2880</v>
      </c>
      <c r="G169" s="3233"/>
    </row>
    <row r="170" spans="1:7" s="3222" customFormat="1" ht="14.25" customHeight="1">
      <c r="A170" s="3233" t="s">
        <v>29</v>
      </c>
      <c r="B170" s="3233" t="s">
        <v>3040</v>
      </c>
      <c r="C170" s="3233"/>
      <c r="D170" s="3233"/>
      <c r="E170" s="3233"/>
      <c r="F170" s="3233">
        <v>2880</v>
      </c>
      <c r="G170" s="3233"/>
    </row>
    <row r="171" spans="1:7" s="3222" customFormat="1" ht="14.25" customHeight="1">
      <c r="A171" s="3233" t="s">
        <v>29</v>
      </c>
      <c r="B171" s="3233" t="s">
        <v>3043</v>
      </c>
      <c r="C171" s="3233"/>
      <c r="D171" s="3233"/>
      <c r="E171" s="3233"/>
      <c r="F171" s="3233">
        <v>2880</v>
      </c>
      <c r="G171" s="3233"/>
    </row>
    <row r="172" spans="1:7" s="3222" customFormat="1" ht="14.25" customHeight="1">
      <c r="A172" s="3233" t="s">
        <v>29</v>
      </c>
      <c r="B172" s="3233" t="s">
        <v>3045</v>
      </c>
      <c r="C172" s="3233"/>
      <c r="D172" s="3233"/>
      <c r="E172" s="3233"/>
      <c r="F172" s="3233">
        <v>2880</v>
      </c>
      <c r="G172" s="3233"/>
    </row>
    <row r="173" spans="1:7" s="3222" customFormat="1" ht="14.25" customHeight="1">
      <c r="A173" s="3233" t="s">
        <v>29</v>
      </c>
      <c r="B173" s="3233" t="s">
        <v>3047</v>
      </c>
      <c r="C173" s="3233"/>
      <c r="D173" s="3233"/>
      <c r="E173" s="3233"/>
      <c r="F173" s="3233">
        <v>2150</v>
      </c>
      <c r="G173" s="3233"/>
    </row>
    <row r="174" spans="1:7" s="3222" customFormat="1" ht="14.25" customHeight="1">
      <c r="A174" s="3233" t="s">
        <v>29</v>
      </c>
      <c r="B174" s="3233" t="s">
        <v>3049</v>
      </c>
      <c r="C174" s="3233"/>
      <c r="D174" s="3233"/>
      <c r="E174" s="3233"/>
      <c r="F174" s="3233">
        <v>2030</v>
      </c>
      <c r="G174" s="3233"/>
    </row>
    <row r="175" spans="1:7" s="3222" customFormat="1" ht="14.25" customHeight="1">
      <c r="A175" s="3233" t="s">
        <v>29</v>
      </c>
      <c r="B175" s="3233" t="s">
        <v>3051</v>
      </c>
      <c r="C175" s="3233"/>
      <c r="D175" s="3233"/>
      <c r="E175" s="3233"/>
      <c r="F175" s="3233">
        <v>2780</v>
      </c>
      <c r="G175" s="3233"/>
    </row>
    <row r="176" spans="1:7" s="3222" customFormat="1" ht="14.25" customHeight="1">
      <c r="A176" s="3233" t="s">
        <v>29</v>
      </c>
      <c r="B176" s="3233" t="s">
        <v>3053</v>
      </c>
      <c r="C176" s="3233"/>
      <c r="D176" s="3233"/>
      <c r="E176" s="3233"/>
      <c r="F176" s="3233">
        <v>2780</v>
      </c>
      <c r="G176" s="3233"/>
    </row>
    <row r="177" spans="1:7" s="3222" customFormat="1" ht="14.25" customHeight="1">
      <c r="A177" s="3233" t="s">
        <v>29</v>
      </c>
      <c r="B177" s="3233" t="s">
        <v>3085</v>
      </c>
      <c r="C177" s="3233"/>
      <c r="D177" s="3233"/>
      <c r="E177" s="3233"/>
      <c r="F177" s="3233">
        <v>2780</v>
      </c>
      <c r="G177" s="3233"/>
    </row>
    <row r="178" spans="1:7" s="3222" customFormat="1" ht="14.25" customHeight="1">
      <c r="A178" s="3233" t="s">
        <v>29</v>
      </c>
      <c r="B178" s="3233" t="s">
        <v>3086</v>
      </c>
      <c r="C178" s="3233"/>
      <c r="D178" s="3233"/>
      <c r="E178" s="3233"/>
      <c r="F178" s="3233">
        <v>2060</v>
      </c>
      <c r="G178" s="3233"/>
    </row>
    <row r="179" spans="1:7" s="3222" customFormat="1" ht="14.25" customHeight="1">
      <c r="A179" s="3233" t="s">
        <v>29</v>
      </c>
      <c r="B179" s="3233" t="s">
        <v>3087</v>
      </c>
      <c r="C179" s="3233"/>
      <c r="D179" s="3233"/>
      <c r="E179" s="3233"/>
      <c r="F179" s="3233">
        <v>2120</v>
      </c>
      <c r="G179" s="3233"/>
    </row>
    <row r="180" spans="1:7" s="3222" customFormat="1" ht="14.25" customHeight="1">
      <c r="A180" s="3233" t="s">
        <v>29</v>
      </c>
      <c r="B180" s="3233" t="s">
        <v>3059</v>
      </c>
      <c r="C180" s="3233"/>
      <c r="D180" s="3233"/>
      <c r="E180" s="3233"/>
      <c r="F180" s="3233">
        <v>2340</v>
      </c>
      <c r="G180" s="3233"/>
    </row>
    <row r="181" spans="1:7" s="3222" customFormat="1" ht="14.25" customHeight="1">
      <c r="A181" s="3233" t="s">
        <v>29</v>
      </c>
      <c r="B181" s="3233" t="s">
        <v>3060</v>
      </c>
      <c r="C181" s="3233"/>
      <c r="D181" s="3233"/>
      <c r="E181" s="3233"/>
      <c r="F181" s="3233">
        <v>2340</v>
      </c>
      <c r="G181" s="3233"/>
    </row>
    <row r="182" spans="1:7" s="3222" customFormat="1" ht="14.25" customHeight="1">
      <c r="A182" s="3233" t="s">
        <v>29</v>
      </c>
      <c r="B182" s="3233" t="s">
        <v>3061</v>
      </c>
      <c r="C182" s="3233"/>
      <c r="D182" s="3233"/>
      <c r="E182" s="3233"/>
      <c r="F182" s="3233">
        <v>2340</v>
      </c>
      <c r="G182" s="3233"/>
    </row>
    <row r="183" spans="1:7" s="3222" customFormat="1" ht="14.25" customHeight="1">
      <c r="A183" s="3233" t="s">
        <v>29</v>
      </c>
      <c r="B183" s="3233" t="s">
        <v>3062</v>
      </c>
      <c r="C183" s="3233"/>
      <c r="D183" s="3233"/>
      <c r="E183" s="3233"/>
      <c r="F183" s="3233">
        <v>2340</v>
      </c>
      <c r="G183" s="3233"/>
    </row>
    <row r="184" spans="1:7" s="3222" customFormat="1" ht="14.25" customHeight="1">
      <c r="A184" s="3233" t="s">
        <v>29</v>
      </c>
      <c r="B184" s="3233" t="s">
        <v>3063</v>
      </c>
      <c r="C184" s="3233"/>
      <c r="D184" s="3233"/>
      <c r="E184" s="3233"/>
      <c r="F184" s="3233">
        <v>2340</v>
      </c>
      <c r="G184" s="3233"/>
    </row>
    <row r="185" spans="1:7" s="3222" customFormat="1" ht="14.25" customHeight="1">
      <c r="A185" s="3233" t="s">
        <v>29</v>
      </c>
      <c r="B185" s="3233" t="s">
        <v>3064</v>
      </c>
      <c r="C185" s="3233"/>
      <c r="D185" s="3233"/>
      <c r="E185" s="3233"/>
      <c r="F185" s="3233">
        <v>2530</v>
      </c>
      <c r="G185" s="3233"/>
    </row>
    <row r="186" spans="1:7" s="3222" customFormat="1" ht="14.25" customHeight="1">
      <c r="A186" s="3233" t="s">
        <v>29</v>
      </c>
      <c r="B186" s="3233" t="s">
        <v>3065</v>
      </c>
      <c r="C186" s="3233"/>
      <c r="D186" s="3233"/>
      <c r="E186" s="3233"/>
      <c r="F186" s="3233">
        <v>2550</v>
      </c>
      <c r="G186" s="3233"/>
    </row>
    <row r="187" spans="1:7" s="3222" customFormat="1" ht="14.25" customHeight="1">
      <c r="A187" s="3233" t="s">
        <v>29</v>
      </c>
      <c r="B187" s="3233" t="s">
        <v>3066</v>
      </c>
      <c r="C187" s="3233"/>
      <c r="D187" s="3233"/>
      <c r="E187" s="3233"/>
      <c r="F187" s="3233">
        <v>2070</v>
      </c>
      <c r="G187" s="3233"/>
    </row>
    <row r="188" spans="1:7" s="3222" customFormat="1" ht="14.25" customHeight="1">
      <c r="A188" s="3233" t="s">
        <v>29</v>
      </c>
      <c r="B188" s="3233" t="s">
        <v>3067</v>
      </c>
      <c r="C188" s="3233"/>
      <c r="D188" s="3233"/>
      <c r="E188" s="3233"/>
      <c r="F188" s="3233">
        <v>2340</v>
      </c>
      <c r="G188" s="3233"/>
    </row>
    <row r="189" spans="1:7" s="3222" customFormat="1" ht="14.25" customHeight="1" thickBot="1">
      <c r="A189" s="3241" t="s">
        <v>29</v>
      </c>
      <c r="B189" s="3244" t="s">
        <v>3068</v>
      </c>
      <c r="C189" s="3244"/>
      <c r="D189" s="3244"/>
      <c r="E189" s="3244"/>
      <c r="F189" s="3244">
        <v>2050</v>
      </c>
      <c r="G189" s="3244"/>
    </row>
    <row r="190" spans="1:7" s="3222" customFormat="1" ht="14.25" customHeight="1">
      <c r="A190" s="3238" t="s">
        <v>304</v>
      </c>
      <c r="B190" s="3229" t="s">
        <v>3088</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3089</v>
      </c>
      <c r="C199" s="3233">
        <v>8690</v>
      </c>
      <c r="D199" s="3233">
        <v>8630</v>
      </c>
      <c r="E199" s="3233">
        <v>11350</v>
      </c>
      <c r="F199" s="3233">
        <v>1600</v>
      </c>
      <c r="G199" s="3246">
        <v>5450</v>
      </c>
    </row>
    <row r="200" spans="1:7" s="3222" customFormat="1" ht="14.25" customHeight="1">
      <c r="A200" s="3233" t="s">
        <v>304</v>
      </c>
      <c r="B200" s="3233" t="s">
        <v>2900</v>
      </c>
      <c r="C200" s="3233"/>
      <c r="D200" s="3233"/>
      <c r="E200" s="3233"/>
      <c r="F200" s="3233">
        <v>1510</v>
      </c>
      <c r="G200" s="3246"/>
    </row>
    <row r="201" spans="1:7" s="3222" customFormat="1" ht="14.25" customHeight="1">
      <c r="A201" s="3233" t="s">
        <v>304</v>
      </c>
      <c r="B201" s="3233" t="s">
        <v>3090</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3091</v>
      </c>
      <c r="C203" s="3233">
        <v>8130</v>
      </c>
      <c r="D203" s="3233">
        <v>8070</v>
      </c>
      <c r="E203" s="3233">
        <v>10820</v>
      </c>
      <c r="F203" s="3233">
        <v>1690</v>
      </c>
      <c r="G203" s="3246">
        <v>5100</v>
      </c>
    </row>
    <row r="204" spans="1:7" s="3222" customFormat="1" ht="14.25" customHeight="1">
      <c r="A204" s="3233" t="s">
        <v>304</v>
      </c>
      <c r="B204" s="3233" t="s">
        <v>2911</v>
      </c>
      <c r="C204" s="3233">
        <v>8350</v>
      </c>
      <c r="D204" s="3233">
        <v>8290</v>
      </c>
      <c r="E204" s="3233">
        <v>11080</v>
      </c>
      <c r="F204" s="3233">
        <v>1450</v>
      </c>
      <c r="G204" s="3246">
        <v>5240</v>
      </c>
    </row>
    <row r="205" spans="1:7" s="3222" customFormat="1" ht="14.25" customHeight="1">
      <c r="A205" s="3233" t="s">
        <v>304</v>
      </c>
      <c r="B205" s="3233" t="s">
        <v>2913</v>
      </c>
      <c r="C205" s="3233">
        <v>7190</v>
      </c>
      <c r="D205" s="3233">
        <v>7130</v>
      </c>
      <c r="E205" s="3233">
        <v>9490</v>
      </c>
      <c r="F205" s="3233">
        <v>1470</v>
      </c>
      <c r="G205" s="3246">
        <v>4510</v>
      </c>
    </row>
    <row r="206" spans="1:7" s="3222" customFormat="1" ht="14.25" customHeight="1">
      <c r="A206" s="3233" t="s">
        <v>304</v>
      </c>
      <c r="B206" s="3233" t="s">
        <v>2916</v>
      </c>
      <c r="C206" s="3233">
        <v>7000</v>
      </c>
      <c r="D206" s="3233">
        <v>6950</v>
      </c>
      <c r="E206" s="3233">
        <v>9170</v>
      </c>
      <c r="F206" s="3233">
        <v>1400</v>
      </c>
      <c r="G206" s="3246">
        <v>4380</v>
      </c>
    </row>
    <row r="207" spans="1:7" s="3222" customFormat="1" ht="14.25" customHeight="1">
      <c r="A207" s="3233" t="s">
        <v>304</v>
      </c>
      <c r="B207" s="3233" t="s">
        <v>2918</v>
      </c>
      <c r="C207" s="3233">
        <v>6950</v>
      </c>
      <c r="D207" s="3233">
        <v>6900</v>
      </c>
      <c r="E207" s="3233">
        <v>9110</v>
      </c>
      <c r="F207" s="3233">
        <v>1790</v>
      </c>
      <c r="G207" s="3246">
        <v>4360</v>
      </c>
    </row>
    <row r="208" spans="1:7" s="3222" customFormat="1" ht="14.25" customHeight="1">
      <c r="A208" s="3233" t="s">
        <v>304</v>
      </c>
      <c r="B208" s="3233" t="s">
        <v>3092</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2928</v>
      </c>
      <c r="C210" s="3233">
        <v>8710</v>
      </c>
      <c r="D210" s="3233">
        <v>8660</v>
      </c>
      <c r="E210" s="3233">
        <v>11440</v>
      </c>
      <c r="F210" s="3233">
        <v>1740</v>
      </c>
      <c r="G210" s="3246">
        <v>5470</v>
      </c>
    </row>
    <row r="211" spans="1:7" s="3222" customFormat="1" ht="14.25" customHeight="1">
      <c r="A211" s="3233" t="s">
        <v>304</v>
      </c>
      <c r="B211" s="3233" t="s">
        <v>3093</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3094</v>
      </c>
      <c r="C214" s="3233">
        <v>8090</v>
      </c>
      <c r="D214" s="3233">
        <v>8030</v>
      </c>
      <c r="E214" s="3233">
        <v>10780</v>
      </c>
      <c r="F214" s="3233">
        <v>1570</v>
      </c>
      <c r="G214" s="3246">
        <v>5070</v>
      </c>
    </row>
    <row r="215" spans="1:7" s="3222" customFormat="1" ht="14.25" customHeight="1">
      <c r="A215" s="3233" t="s">
        <v>304</v>
      </c>
      <c r="B215" s="3233" t="s">
        <v>3095</v>
      </c>
      <c r="C215" s="3233">
        <v>7950</v>
      </c>
      <c r="D215" s="3233">
        <v>7900</v>
      </c>
      <c r="E215" s="3233">
        <v>10560</v>
      </c>
      <c r="F215" s="3233">
        <v>1630</v>
      </c>
      <c r="G215" s="3246">
        <v>4990</v>
      </c>
    </row>
    <row r="216" spans="1:7" s="3222" customFormat="1" ht="14.25" customHeight="1">
      <c r="A216" s="3233" t="s">
        <v>304</v>
      </c>
      <c r="B216" s="3233" t="s">
        <v>3096</v>
      </c>
      <c r="C216" s="3233">
        <v>8490</v>
      </c>
      <c r="D216" s="3233">
        <v>8440</v>
      </c>
      <c r="E216" s="3233">
        <v>11260</v>
      </c>
      <c r="F216" s="3233">
        <v>1690</v>
      </c>
      <c r="G216" s="3246">
        <v>5330</v>
      </c>
    </row>
    <row r="217" spans="1:7" s="3222" customFormat="1" ht="14.25" customHeight="1">
      <c r="A217" s="3233" t="s">
        <v>304</v>
      </c>
      <c r="B217" s="3233" t="s">
        <v>2961</v>
      </c>
      <c r="C217" s="3233">
        <v>8200</v>
      </c>
      <c r="D217" s="3233">
        <v>8150</v>
      </c>
      <c r="E217" s="3233">
        <v>10910</v>
      </c>
      <c r="F217" s="3233">
        <v>1670</v>
      </c>
      <c r="G217" s="3246">
        <v>5150</v>
      </c>
    </row>
    <row r="218" spans="1:7" s="3222" customFormat="1" ht="14.25" customHeight="1">
      <c r="A218" s="3233" t="s">
        <v>304</v>
      </c>
      <c r="B218" s="3233" t="s">
        <v>3097</v>
      </c>
      <c r="C218" s="3233"/>
      <c r="D218" s="3233"/>
      <c r="E218" s="3233"/>
      <c r="F218" s="3233">
        <v>2040</v>
      </c>
      <c r="G218" s="3246"/>
    </row>
    <row r="219" spans="1:7" s="3222" customFormat="1" ht="14.25" customHeight="1">
      <c r="A219" s="3233" t="s">
        <v>304</v>
      </c>
      <c r="B219" s="3233" t="s">
        <v>3098</v>
      </c>
      <c r="C219" s="3233"/>
      <c r="D219" s="3233"/>
      <c r="E219" s="3233"/>
      <c r="F219" s="3233">
        <v>2040</v>
      </c>
      <c r="G219" s="3246"/>
    </row>
    <row r="220" spans="1:7" s="3222" customFormat="1" ht="14.25" customHeight="1">
      <c r="A220" s="3233" t="s">
        <v>304</v>
      </c>
      <c r="B220" s="3233" t="s">
        <v>3099</v>
      </c>
      <c r="C220" s="3233"/>
      <c r="D220" s="3233"/>
      <c r="E220" s="3233"/>
      <c r="F220" s="3233">
        <v>2040</v>
      </c>
      <c r="G220" s="3246"/>
    </row>
    <row r="221" spans="1:7" s="3222" customFormat="1" ht="14.25" customHeight="1">
      <c r="A221" s="3233" t="s">
        <v>304</v>
      </c>
      <c r="B221" s="3233" t="s">
        <v>3100</v>
      </c>
      <c r="C221" s="3233"/>
      <c r="D221" s="3233"/>
      <c r="E221" s="3233"/>
      <c r="F221" s="3233">
        <v>2040</v>
      </c>
      <c r="G221" s="3246"/>
    </row>
    <row r="222" spans="1:7" s="3222" customFormat="1" ht="14.25" customHeight="1">
      <c r="A222" s="3233" t="s">
        <v>304</v>
      </c>
      <c r="B222" s="3233" t="s">
        <v>3101</v>
      </c>
      <c r="C222" s="3233"/>
      <c r="D222" s="3233"/>
      <c r="E222" s="3233"/>
      <c r="F222" s="3233">
        <v>2040</v>
      </c>
      <c r="G222" s="3246"/>
    </row>
    <row r="223" spans="1:7" s="3222" customFormat="1" ht="14.25" customHeight="1">
      <c r="A223" s="3233" t="s">
        <v>304</v>
      </c>
      <c r="B223" s="3233" t="s">
        <v>3102</v>
      </c>
      <c r="C223" s="3233"/>
      <c r="D223" s="3233"/>
      <c r="E223" s="3233"/>
      <c r="F223" s="3233">
        <v>1930</v>
      </c>
      <c r="G223" s="3246"/>
    </row>
    <row r="224" spans="1:7" s="3222" customFormat="1" ht="14.25" customHeight="1">
      <c r="A224" s="3233" t="s">
        <v>304</v>
      </c>
      <c r="B224" s="3233" t="s">
        <v>3103</v>
      </c>
      <c r="C224" s="3233"/>
      <c r="D224" s="3233"/>
      <c r="E224" s="3233"/>
      <c r="F224" s="3233">
        <v>1930</v>
      </c>
      <c r="G224" s="3246"/>
    </row>
    <row r="225" spans="1:7" s="3222" customFormat="1" ht="14.25" customHeight="1">
      <c r="A225" s="3233" t="s">
        <v>304</v>
      </c>
      <c r="B225" s="3233" t="s">
        <v>3104</v>
      </c>
      <c r="C225" s="3233"/>
      <c r="D225" s="3233"/>
      <c r="E225" s="3233"/>
      <c r="F225" s="3233">
        <v>1930</v>
      </c>
      <c r="G225" s="3246"/>
    </row>
    <row r="226" spans="1:7" s="3222" customFormat="1" ht="14.25" customHeight="1">
      <c r="A226" s="3233" t="s">
        <v>304</v>
      </c>
      <c r="B226" s="3233" t="s">
        <v>3105</v>
      </c>
      <c r="C226" s="3233"/>
      <c r="D226" s="3233"/>
      <c r="E226" s="3233"/>
      <c r="F226" s="3233">
        <v>1700</v>
      </c>
      <c r="G226" s="3246"/>
    </row>
    <row r="227" spans="1:7" s="3222" customFormat="1" ht="14.25" customHeight="1">
      <c r="A227" s="3233" t="s">
        <v>304</v>
      </c>
      <c r="B227" s="3233" t="s">
        <v>3106</v>
      </c>
      <c r="C227" s="3233"/>
      <c r="D227" s="3233"/>
      <c r="E227" s="3233"/>
      <c r="F227" s="3233">
        <v>1520</v>
      </c>
      <c r="G227" s="3246"/>
    </row>
    <row r="228" spans="1:7" s="3222" customFormat="1" ht="14.25" customHeight="1">
      <c r="A228" s="3233" t="s">
        <v>304</v>
      </c>
      <c r="B228" s="3233" t="s">
        <v>3107</v>
      </c>
      <c r="C228" s="3233"/>
      <c r="D228" s="3233"/>
      <c r="E228" s="3233"/>
      <c r="F228" s="3233">
        <v>1520</v>
      </c>
      <c r="G228" s="3246"/>
    </row>
    <row r="229" spans="1:7" s="3222" customFormat="1" ht="14.25" customHeight="1">
      <c r="A229" s="3233" t="s">
        <v>304</v>
      </c>
      <c r="B229" s="3233" t="s">
        <v>3024</v>
      </c>
      <c r="C229" s="3233"/>
      <c r="D229" s="3233"/>
      <c r="E229" s="3233"/>
      <c r="F229" s="3233">
        <v>1520</v>
      </c>
      <c r="G229" s="3246"/>
    </row>
    <row r="230" spans="1:7" s="3222" customFormat="1" ht="14.25" customHeight="1">
      <c r="A230" s="3233" t="s">
        <v>304</v>
      </c>
      <c r="B230" s="3233" t="s">
        <v>3108</v>
      </c>
      <c r="C230" s="3233"/>
      <c r="D230" s="3233"/>
      <c r="E230" s="3233"/>
      <c r="F230" s="3233">
        <v>1820</v>
      </c>
      <c r="G230" s="3246"/>
    </row>
    <row r="231" spans="1:7" s="3222" customFormat="1" ht="14.25" customHeight="1">
      <c r="A231" s="3233" t="s">
        <v>304</v>
      </c>
      <c r="B231" s="3233" t="s">
        <v>3109</v>
      </c>
      <c r="C231" s="3233"/>
      <c r="D231" s="3233"/>
      <c r="E231" s="3233"/>
      <c r="F231" s="3233">
        <v>1760</v>
      </c>
      <c r="G231" s="3246"/>
    </row>
    <row r="232" spans="1:7" s="3222" customFormat="1" ht="14.25" customHeight="1">
      <c r="A232" s="3233" t="s">
        <v>304</v>
      </c>
      <c r="B232" s="3233" t="s">
        <v>3110</v>
      </c>
      <c r="C232" s="3233"/>
      <c r="D232" s="3233"/>
      <c r="E232" s="3233"/>
      <c r="F232" s="3233">
        <v>1840</v>
      </c>
      <c r="G232" s="3246"/>
    </row>
    <row r="233" spans="1:7" s="3222" customFormat="1" ht="14.25" customHeight="1" thickBot="1">
      <c r="A233" s="3247" t="s">
        <v>304</v>
      </c>
      <c r="B233" s="3240" t="s">
        <v>3041</v>
      </c>
      <c r="C233" s="3240"/>
      <c r="D233" s="3240"/>
      <c r="E233" s="3240"/>
      <c r="F233" s="3240">
        <v>1770</v>
      </c>
      <c r="G233" s="3248"/>
    </row>
    <row r="234" spans="1:7" s="3222" customFormat="1" ht="14.25" customHeight="1">
      <c r="A234" s="3238" t="s">
        <v>305</v>
      </c>
      <c r="B234" s="3229" t="s">
        <v>3111</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2882</v>
      </c>
      <c r="C238" s="3233">
        <v>6920</v>
      </c>
      <c r="D238" s="3233">
        <v>6890</v>
      </c>
      <c r="E238" s="3233">
        <v>8640</v>
      </c>
      <c r="F238" s="3233">
        <v>1310</v>
      </c>
      <c r="G238" s="3233">
        <v>4230</v>
      </c>
    </row>
    <row r="239" spans="1:7" s="3222" customFormat="1" ht="14.25" customHeight="1">
      <c r="A239" s="3233" t="s">
        <v>305</v>
      </c>
      <c r="B239" s="3233" t="s">
        <v>3112</v>
      </c>
      <c r="C239" s="3233">
        <v>6780</v>
      </c>
      <c r="D239" s="3233">
        <v>6750</v>
      </c>
      <c r="E239" s="3233">
        <v>8440</v>
      </c>
      <c r="F239" s="3233">
        <v>1160</v>
      </c>
      <c r="G239" s="3233">
        <v>4140</v>
      </c>
    </row>
    <row r="240" spans="1:7" s="3222" customFormat="1" ht="14.25" customHeight="1">
      <c r="A240" s="3233" t="s">
        <v>305</v>
      </c>
      <c r="B240" s="3233" t="s">
        <v>3113</v>
      </c>
      <c r="C240" s="3233">
        <v>5420</v>
      </c>
      <c r="D240" s="3233">
        <v>5380</v>
      </c>
      <c r="E240" s="3233">
        <v>6640</v>
      </c>
      <c r="F240" s="3233">
        <v>1020</v>
      </c>
      <c r="G240" s="3233">
        <v>3300</v>
      </c>
    </row>
    <row r="241" spans="1:7" s="3222" customFormat="1" ht="14.25" customHeight="1">
      <c r="A241" s="3233" t="s">
        <v>305</v>
      </c>
      <c r="B241" s="3233" t="s">
        <v>3114</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3115</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3116</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3117</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3118</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3119</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2944</v>
      </c>
      <c r="C258" s="3233">
        <v>6190</v>
      </c>
      <c r="D258" s="3233">
        <v>6160</v>
      </c>
      <c r="E258" s="3233">
        <v>7680</v>
      </c>
      <c r="F258" s="3233">
        <v>1170</v>
      </c>
      <c r="G258" s="3233">
        <v>3780</v>
      </c>
    </row>
    <row r="259" spans="1:7" s="3222" customFormat="1" ht="14.25" customHeight="1">
      <c r="A259" s="3233" t="s">
        <v>305</v>
      </c>
      <c r="B259" s="3233" t="s">
        <v>3120</v>
      </c>
      <c r="C259" s="3233">
        <v>7610</v>
      </c>
      <c r="D259" s="3233">
        <v>7570</v>
      </c>
      <c r="E259" s="3233">
        <v>9350</v>
      </c>
      <c r="F259" s="3233">
        <v>1350</v>
      </c>
      <c r="G259" s="3233">
        <v>4650</v>
      </c>
    </row>
    <row r="260" spans="1:7" s="3222" customFormat="1" ht="14.25" customHeight="1">
      <c r="A260" s="3233" t="s">
        <v>305</v>
      </c>
      <c r="B260" s="3233" t="s">
        <v>3121</v>
      </c>
      <c r="C260" s="3233">
        <v>6920</v>
      </c>
      <c r="D260" s="3233">
        <v>6880</v>
      </c>
      <c r="E260" s="3233">
        <v>8380</v>
      </c>
      <c r="F260" s="3233">
        <v>1160</v>
      </c>
      <c r="G260" s="3233">
        <v>4220</v>
      </c>
    </row>
    <row r="261" spans="1:7" s="3222" customFormat="1" ht="14.25" customHeight="1">
      <c r="A261" s="3233" t="s">
        <v>305</v>
      </c>
      <c r="B261" s="3233" t="s">
        <v>3122</v>
      </c>
      <c r="C261" s="3233">
        <v>6850</v>
      </c>
      <c r="D261" s="3233">
        <v>6810</v>
      </c>
      <c r="E261" s="3233">
        <v>8290</v>
      </c>
      <c r="F261" s="3233">
        <v>1130</v>
      </c>
      <c r="G261" s="3233">
        <v>4180</v>
      </c>
    </row>
    <row r="262" spans="1:7" s="3222" customFormat="1" ht="14.25" customHeight="1">
      <c r="A262" s="3233" t="s">
        <v>305</v>
      </c>
      <c r="B262" s="3233" t="s">
        <v>3123</v>
      </c>
      <c r="C262" s="3233">
        <v>5860</v>
      </c>
      <c r="D262" s="3233">
        <v>5820</v>
      </c>
      <c r="E262" s="3233">
        <v>7640</v>
      </c>
      <c r="F262" s="3233">
        <v>1070</v>
      </c>
      <c r="G262" s="3233">
        <v>3570</v>
      </c>
    </row>
    <row r="263" spans="1:7" s="3222" customFormat="1" ht="14.25" customHeight="1">
      <c r="A263" s="3233" t="s">
        <v>305</v>
      </c>
      <c r="B263" s="3233" t="s">
        <v>3124</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3125</v>
      </c>
      <c r="C265" s="3233"/>
      <c r="D265" s="3233"/>
      <c r="E265" s="3233"/>
      <c r="F265" s="3233">
        <v>1500</v>
      </c>
      <c r="G265" s="3233"/>
    </row>
    <row r="266" spans="1:7" s="3222" customFormat="1" ht="14.25" customHeight="1">
      <c r="A266" s="3233" t="s">
        <v>305</v>
      </c>
      <c r="B266" s="3233" t="s">
        <v>3126</v>
      </c>
      <c r="C266" s="3233"/>
      <c r="D266" s="3233"/>
      <c r="E266" s="3233"/>
      <c r="F266" s="3233">
        <v>1500</v>
      </c>
      <c r="G266" s="3233"/>
    </row>
    <row r="267" spans="1:7" s="3222" customFormat="1" ht="14.25" customHeight="1">
      <c r="A267" s="3233" t="s">
        <v>305</v>
      </c>
      <c r="B267" s="3233" t="s">
        <v>3127</v>
      </c>
      <c r="C267" s="3233"/>
      <c r="D267" s="3233"/>
      <c r="E267" s="3233"/>
      <c r="F267" s="3233">
        <v>1500</v>
      </c>
      <c r="G267" s="3233"/>
    </row>
    <row r="268" spans="1:7" s="3222" customFormat="1" ht="14.25" customHeight="1">
      <c r="A268" s="3233" t="s">
        <v>305</v>
      </c>
      <c r="B268" s="3233" t="s">
        <v>3128</v>
      </c>
      <c r="C268" s="3233"/>
      <c r="D268" s="3233"/>
      <c r="E268" s="3233"/>
      <c r="F268" s="3233">
        <v>1290</v>
      </c>
      <c r="G268" s="3233"/>
    </row>
    <row r="269" spans="1:7" s="3222" customFormat="1" ht="14.25" customHeight="1">
      <c r="A269" s="3233" t="s">
        <v>305</v>
      </c>
      <c r="B269" s="3233" t="s">
        <v>3129</v>
      </c>
      <c r="C269" s="3233"/>
      <c r="D269" s="3233"/>
      <c r="E269" s="3233"/>
      <c r="F269" s="3233">
        <v>1150</v>
      </c>
      <c r="G269" s="3233"/>
    </row>
    <row r="270" spans="1:7" s="3222" customFormat="1" ht="14.25" customHeight="1">
      <c r="A270" s="3233" t="s">
        <v>305</v>
      </c>
      <c r="B270" s="3233" t="s">
        <v>3130</v>
      </c>
      <c r="C270" s="3233"/>
      <c r="D270" s="3233"/>
      <c r="E270" s="3233"/>
      <c r="F270" s="3233">
        <v>1380</v>
      </c>
      <c r="G270" s="3233"/>
    </row>
    <row r="271" spans="1:7" s="3222" customFormat="1" ht="14.25" customHeight="1">
      <c r="A271" s="3233" t="s">
        <v>305</v>
      </c>
      <c r="B271" s="3233" t="s">
        <v>3131</v>
      </c>
      <c r="C271" s="3233"/>
      <c r="D271" s="3233"/>
      <c r="E271" s="3233"/>
      <c r="F271" s="3233">
        <v>1460</v>
      </c>
      <c r="G271" s="3233"/>
    </row>
    <row r="272" spans="1:7" s="3222" customFormat="1" ht="14.25" customHeight="1">
      <c r="A272" s="3233" t="s">
        <v>305</v>
      </c>
      <c r="B272" s="3233" t="s">
        <v>3132</v>
      </c>
      <c r="C272" s="3233"/>
      <c r="D272" s="3233"/>
      <c r="E272" s="3233"/>
      <c r="F272" s="3233">
        <v>1460</v>
      </c>
      <c r="G272" s="3233"/>
    </row>
    <row r="273" spans="1:7" s="3222" customFormat="1" ht="14.25" customHeight="1">
      <c r="A273" s="3233" t="s">
        <v>305</v>
      </c>
      <c r="B273" s="3233" t="s">
        <v>3025</v>
      </c>
      <c r="C273" s="3233"/>
      <c r="D273" s="3233"/>
      <c r="E273" s="3233"/>
      <c r="F273" s="3233">
        <v>1490</v>
      </c>
      <c r="G273" s="3233"/>
    </row>
    <row r="274" spans="1:7" s="3222" customFormat="1" ht="14.25" customHeight="1">
      <c r="A274" s="3233" t="s">
        <v>305</v>
      </c>
      <c r="B274" s="3233" t="s">
        <v>3133</v>
      </c>
      <c r="C274" s="3233"/>
      <c r="D274" s="3233"/>
      <c r="E274" s="3233"/>
      <c r="F274" s="3233">
        <v>1490</v>
      </c>
      <c r="G274" s="3233"/>
    </row>
    <row r="275" spans="1:7" s="3222" customFormat="1" ht="14.25" customHeight="1">
      <c r="A275" s="3233" t="s">
        <v>305</v>
      </c>
      <c r="B275" s="3233" t="s">
        <v>3134</v>
      </c>
      <c r="C275" s="3233"/>
      <c r="D275" s="3233"/>
      <c r="E275" s="3233"/>
      <c r="F275" s="3233">
        <v>1220</v>
      </c>
      <c r="G275" s="3233"/>
    </row>
    <row r="276" spans="1:7" s="3222" customFormat="1" ht="14.25" customHeight="1" thickBot="1">
      <c r="A276" s="3241" t="s">
        <v>305</v>
      </c>
      <c r="B276" s="3243" t="s">
        <v>3135</v>
      </c>
      <c r="C276" s="3244"/>
      <c r="D276" s="3244"/>
      <c r="E276" s="3244"/>
      <c r="F276" s="3244">
        <v>1380</v>
      </c>
      <c r="G276" s="3244"/>
    </row>
    <row r="277" spans="1:7" s="3222" customFormat="1" ht="14.25" customHeight="1">
      <c r="A277" s="3238" t="s">
        <v>306</v>
      </c>
      <c r="B277" s="3229" t="s">
        <v>3136</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3137</v>
      </c>
      <c r="C279" s="3233">
        <v>4760</v>
      </c>
      <c r="D279" s="3233">
        <v>4720</v>
      </c>
      <c r="E279" s="3233">
        <v>5540</v>
      </c>
      <c r="F279" s="3233">
        <v>810</v>
      </c>
      <c r="G279" s="3246">
        <v>2850</v>
      </c>
    </row>
    <row r="280" spans="1:7" s="3222" customFormat="1" ht="14.25" customHeight="1">
      <c r="A280" s="3233" t="s">
        <v>306</v>
      </c>
      <c r="B280" s="3233" t="s">
        <v>3138</v>
      </c>
      <c r="C280" s="3233">
        <v>4010</v>
      </c>
      <c r="D280" s="3233">
        <v>3950</v>
      </c>
      <c r="E280" s="3233">
        <v>4710</v>
      </c>
      <c r="F280" s="3233">
        <v>800</v>
      </c>
      <c r="G280" s="3246">
        <v>2390</v>
      </c>
    </row>
    <row r="281" spans="1:7" s="3222" customFormat="1" ht="14.25" customHeight="1">
      <c r="A281" s="3233" t="s">
        <v>306</v>
      </c>
      <c r="B281" s="3233" t="s">
        <v>3139</v>
      </c>
      <c r="C281" s="3233">
        <v>4480</v>
      </c>
      <c r="D281" s="3233">
        <v>4420</v>
      </c>
      <c r="E281" s="3233">
        <v>5230</v>
      </c>
      <c r="F281" s="3233">
        <v>870</v>
      </c>
      <c r="G281" s="3246">
        <v>2660</v>
      </c>
    </row>
    <row r="282" spans="1:7" s="3222" customFormat="1" ht="14.25" customHeight="1">
      <c r="A282" s="3233" t="s">
        <v>306</v>
      </c>
      <c r="B282" s="3233" t="s">
        <v>3140</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3141</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3142</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2917</v>
      </c>
      <c r="C293" s="3233">
        <v>5320</v>
      </c>
      <c r="D293" s="3233">
        <v>5270</v>
      </c>
      <c r="E293" s="3233">
        <v>6160</v>
      </c>
      <c r="F293" s="3233">
        <v>990</v>
      </c>
      <c r="G293" s="3246">
        <v>3170</v>
      </c>
    </row>
    <row r="294" spans="1:7" s="3222" customFormat="1" ht="14.25" customHeight="1">
      <c r="A294" s="3233" t="s">
        <v>306</v>
      </c>
      <c r="B294" s="3233" t="s">
        <v>3143</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2936</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3144</v>
      </c>
      <c r="C302" s="3233">
        <v>5520</v>
      </c>
      <c r="D302" s="3233">
        <v>5470</v>
      </c>
      <c r="E302" s="3233">
        <v>6410</v>
      </c>
      <c r="F302" s="3233">
        <v>950</v>
      </c>
      <c r="G302" s="3246">
        <v>3300</v>
      </c>
    </row>
    <row r="303" spans="1:7" s="3222" customFormat="1" ht="14.25" customHeight="1">
      <c r="A303" s="3233" t="s">
        <v>306</v>
      </c>
      <c r="B303" s="3233" t="s">
        <v>2956</v>
      </c>
      <c r="C303" s="3233">
        <v>5630</v>
      </c>
      <c r="D303" s="3233">
        <v>5590</v>
      </c>
      <c r="E303" s="3233">
        <v>6550</v>
      </c>
      <c r="F303" s="3233">
        <v>1010</v>
      </c>
      <c r="G303" s="3246">
        <v>3370</v>
      </c>
    </row>
    <row r="304" spans="1:7" s="3222" customFormat="1" ht="14.25" customHeight="1">
      <c r="A304" s="3233" t="s">
        <v>306</v>
      </c>
      <c r="B304" s="3233" t="s">
        <v>2963</v>
      </c>
      <c r="C304" s="3233">
        <v>5680</v>
      </c>
      <c r="D304" s="3233">
        <v>5620</v>
      </c>
      <c r="E304" s="3233">
        <v>6620</v>
      </c>
      <c r="F304" s="3233">
        <v>1050</v>
      </c>
      <c r="G304" s="3246">
        <v>3390</v>
      </c>
    </row>
    <row r="305" spans="1:7" s="3222" customFormat="1" ht="14.25" customHeight="1">
      <c r="A305" s="3233" t="s">
        <v>306</v>
      </c>
      <c r="B305" s="3233" t="s">
        <v>2969</v>
      </c>
      <c r="C305" s="3233">
        <v>5590</v>
      </c>
      <c r="D305" s="3233">
        <v>5530</v>
      </c>
      <c r="E305" s="3233">
        <v>6460</v>
      </c>
      <c r="F305" s="3233">
        <v>900</v>
      </c>
      <c r="G305" s="3246">
        <v>3340</v>
      </c>
    </row>
    <row r="306" spans="1:7" s="3222" customFormat="1" ht="14.25" customHeight="1">
      <c r="A306" s="3233" t="s">
        <v>306</v>
      </c>
      <c r="B306" s="3233" t="s">
        <v>3145</v>
      </c>
      <c r="C306" s="3233">
        <v>5560</v>
      </c>
      <c r="D306" s="3233">
        <v>5510</v>
      </c>
      <c r="E306" s="3233">
        <v>6440</v>
      </c>
      <c r="F306" s="3233">
        <v>900</v>
      </c>
      <c r="G306" s="3246">
        <v>3320</v>
      </c>
    </row>
    <row r="307" spans="1:7" s="3222" customFormat="1" ht="14.25" customHeight="1">
      <c r="A307" s="3233" t="s">
        <v>306</v>
      </c>
      <c r="B307" s="3233" t="s">
        <v>2981</v>
      </c>
      <c r="C307" s="3233">
        <v>5650</v>
      </c>
      <c r="D307" s="3233">
        <v>5600</v>
      </c>
      <c r="E307" s="3233">
        <v>6590</v>
      </c>
      <c r="F307" s="3233">
        <v>930</v>
      </c>
      <c r="G307" s="3246">
        <v>3380</v>
      </c>
    </row>
    <row r="308" spans="1:7" s="3222" customFormat="1" ht="14.25" customHeight="1">
      <c r="A308" s="3233" t="s">
        <v>306</v>
      </c>
      <c r="B308" s="3233" t="s">
        <v>3146</v>
      </c>
      <c r="C308" s="3233">
        <v>5620</v>
      </c>
      <c r="D308" s="3233">
        <v>5580</v>
      </c>
      <c r="E308" s="3233">
        <v>6540</v>
      </c>
      <c r="F308" s="3233">
        <v>910</v>
      </c>
      <c r="G308" s="3246">
        <v>3370</v>
      </c>
    </row>
    <row r="309" spans="1:7" s="3222" customFormat="1" ht="14.25" customHeight="1">
      <c r="A309" s="3233" t="s">
        <v>306</v>
      </c>
      <c r="B309" s="3233" t="s">
        <v>3147</v>
      </c>
      <c r="C309" s="3233">
        <v>5060</v>
      </c>
      <c r="D309" s="3233">
        <v>5020</v>
      </c>
      <c r="E309" s="3233">
        <v>6370</v>
      </c>
      <c r="F309" s="3233">
        <v>800</v>
      </c>
      <c r="G309" s="3246">
        <v>3020</v>
      </c>
    </row>
    <row r="310" spans="1:7" s="3222" customFormat="1" ht="14.25" customHeight="1">
      <c r="A310" s="3233" t="s">
        <v>306</v>
      </c>
      <c r="B310" s="3233" t="s">
        <v>2996</v>
      </c>
      <c r="C310" s="3233">
        <v>5150</v>
      </c>
      <c r="D310" s="3233">
        <v>5110</v>
      </c>
      <c r="E310" s="3233">
        <v>6500</v>
      </c>
      <c r="F310" s="3233">
        <v>880</v>
      </c>
      <c r="G310" s="3246">
        <v>3080</v>
      </c>
    </row>
    <row r="311" spans="1:7" s="3222" customFormat="1" ht="14.25" customHeight="1">
      <c r="A311" s="3233" t="s">
        <v>306</v>
      </c>
      <c r="B311" s="3233" t="s">
        <v>3148</v>
      </c>
      <c r="C311" s="3233">
        <v>4750</v>
      </c>
      <c r="D311" s="3233">
        <v>4710</v>
      </c>
      <c r="E311" s="3233">
        <v>5510</v>
      </c>
      <c r="F311" s="3233">
        <v>880</v>
      </c>
      <c r="G311" s="3246">
        <v>2840</v>
      </c>
    </row>
    <row r="312" spans="1:7" s="3222" customFormat="1" ht="14.25" customHeight="1">
      <c r="A312" s="3233" t="s">
        <v>306</v>
      </c>
      <c r="B312" s="3233" t="s">
        <v>3006</v>
      </c>
      <c r="C312" s="3233">
        <v>4690</v>
      </c>
      <c r="D312" s="3233">
        <v>4640</v>
      </c>
      <c r="E312" s="3233">
        <v>5420</v>
      </c>
      <c r="F312" s="3233">
        <v>800</v>
      </c>
      <c r="G312" s="3246">
        <v>2800</v>
      </c>
    </row>
    <row r="313" spans="1:7" s="3222" customFormat="1" ht="14.25" customHeight="1">
      <c r="A313" s="3233" t="s">
        <v>306</v>
      </c>
      <c r="B313" s="3233" t="s">
        <v>3011</v>
      </c>
      <c r="C313" s="3233">
        <v>4810</v>
      </c>
      <c r="D313" s="3233">
        <v>4760</v>
      </c>
      <c r="E313" s="3233">
        <v>5550</v>
      </c>
      <c r="F313" s="3233">
        <v>920</v>
      </c>
      <c r="G313" s="3246">
        <v>2870</v>
      </c>
    </row>
    <row r="314" spans="1:7" s="3222" customFormat="1" ht="14.25" customHeight="1">
      <c r="A314" s="3233" t="s">
        <v>306</v>
      </c>
      <c r="B314" s="3233" t="s">
        <v>3149</v>
      </c>
      <c r="C314" s="3233"/>
      <c r="D314" s="3233"/>
      <c r="E314" s="3233"/>
      <c r="F314" s="3233">
        <v>1020</v>
      </c>
      <c r="G314" s="3246"/>
    </row>
    <row r="315" spans="1:7" s="3222" customFormat="1" ht="14.25" customHeight="1">
      <c r="A315" s="3233" t="s">
        <v>306</v>
      </c>
      <c r="B315" s="3233" t="s">
        <v>3150</v>
      </c>
      <c r="C315" s="3233"/>
      <c r="D315" s="3233"/>
      <c r="E315" s="3233"/>
      <c r="F315" s="3233">
        <v>1050</v>
      </c>
      <c r="G315" s="3246"/>
    </row>
    <row r="316" spans="1:7" s="3222" customFormat="1" ht="14.25" customHeight="1">
      <c r="A316" s="3233" t="s">
        <v>306</v>
      </c>
      <c r="B316" s="3233" t="s">
        <v>3026</v>
      </c>
      <c r="C316" s="3233"/>
      <c r="D316" s="3233"/>
      <c r="E316" s="3233"/>
      <c r="F316" s="3233">
        <v>900</v>
      </c>
      <c r="G316" s="3246"/>
    </row>
    <row r="317" spans="1:7" s="3222" customFormat="1" ht="14.25" customHeight="1">
      <c r="A317" s="3233" t="s">
        <v>306</v>
      </c>
      <c r="B317" s="3233" t="s">
        <v>3151</v>
      </c>
      <c r="C317" s="3233"/>
      <c r="D317" s="3233"/>
      <c r="E317" s="3233"/>
      <c r="F317" s="3233">
        <v>920</v>
      </c>
      <c r="G317" s="3246"/>
    </row>
    <row r="318" spans="1:7" s="3222" customFormat="1" ht="14.25" customHeight="1">
      <c r="A318" s="3233" t="s">
        <v>306</v>
      </c>
      <c r="B318" s="3233" t="s">
        <v>3152</v>
      </c>
      <c r="C318" s="3233"/>
      <c r="D318" s="3233"/>
      <c r="E318" s="3233"/>
      <c r="F318" s="3233">
        <v>1080</v>
      </c>
      <c r="G318" s="3246"/>
    </row>
    <row r="319" spans="1:7" s="3222" customFormat="1" ht="14.25" customHeight="1">
      <c r="A319" s="3233" t="s">
        <v>306</v>
      </c>
      <c r="B319" s="3233" t="s">
        <v>3039</v>
      </c>
      <c r="C319" s="3233"/>
      <c r="D319" s="3233"/>
      <c r="E319" s="3233"/>
      <c r="F319" s="3233">
        <v>1020</v>
      </c>
      <c r="G319" s="3246"/>
    </row>
    <row r="320" spans="1:7" s="3222" customFormat="1" ht="14.25" customHeight="1">
      <c r="A320" s="3233" t="s">
        <v>306</v>
      </c>
      <c r="B320" s="3233" t="s">
        <v>3042</v>
      </c>
      <c r="C320" s="3233"/>
      <c r="D320" s="3233"/>
      <c r="E320" s="3233"/>
      <c r="F320" s="3233">
        <v>1050</v>
      </c>
      <c r="G320" s="3246"/>
    </row>
    <row r="321" spans="1:7" s="3222" customFormat="1" ht="14.25" customHeight="1">
      <c r="A321" s="3233" t="s">
        <v>306</v>
      </c>
      <c r="B321" s="3233" t="s">
        <v>3044</v>
      </c>
      <c r="C321" s="3233"/>
      <c r="D321" s="3233"/>
      <c r="E321" s="3233"/>
      <c r="F321" s="3233">
        <v>960</v>
      </c>
      <c r="G321" s="3246"/>
    </row>
    <row r="322" spans="1:7" s="3222" customFormat="1" ht="14.25" customHeight="1">
      <c r="A322" s="3233" t="s">
        <v>306</v>
      </c>
      <c r="B322" s="3233" t="s">
        <v>3046</v>
      </c>
      <c r="C322" s="3233"/>
      <c r="D322" s="3233"/>
      <c r="E322" s="3233"/>
      <c r="F322" s="3233">
        <v>960</v>
      </c>
      <c r="G322" s="3246"/>
    </row>
    <row r="323" spans="1:7" s="3222" customFormat="1" ht="14.25" customHeight="1">
      <c r="A323" s="3233" t="s">
        <v>306</v>
      </c>
      <c r="B323" s="3233" t="s">
        <v>3048</v>
      </c>
      <c r="C323" s="3233"/>
      <c r="D323" s="3233"/>
      <c r="E323" s="3233"/>
      <c r="F323" s="3233">
        <v>880</v>
      </c>
      <c r="G323" s="3246"/>
    </row>
    <row r="324" spans="1:7" s="3222" customFormat="1" ht="14.25" customHeight="1">
      <c r="A324" s="3233" t="s">
        <v>306</v>
      </c>
      <c r="B324" s="3233" t="s">
        <v>3050</v>
      </c>
      <c r="C324" s="3233"/>
      <c r="D324" s="3233"/>
      <c r="E324" s="3233"/>
      <c r="F324" s="3233">
        <v>930</v>
      </c>
      <c r="G324" s="3246"/>
    </row>
    <row r="325" spans="1:7" s="3222" customFormat="1" ht="14.25" customHeight="1">
      <c r="A325" s="3233" t="s">
        <v>306</v>
      </c>
      <c r="B325" s="3234" t="s">
        <v>3052</v>
      </c>
      <c r="C325" s="3233"/>
      <c r="D325" s="3233"/>
      <c r="E325" s="3233"/>
      <c r="F325" s="3233">
        <v>900</v>
      </c>
      <c r="G325" s="3246"/>
    </row>
    <row r="326" spans="1:7" s="3222" customFormat="1" ht="14.25" customHeight="1" thickBot="1">
      <c r="A326" s="3247" t="s">
        <v>306</v>
      </c>
      <c r="B326" s="3240" t="s">
        <v>3054</v>
      </c>
      <c r="C326" s="3240"/>
      <c r="D326" s="3240"/>
      <c r="E326" s="3240"/>
      <c r="F326" s="3240">
        <v>790</v>
      </c>
      <c r="G326" s="3248"/>
    </row>
    <row r="327" spans="1:7" s="3222" customFormat="1" ht="14.25" customHeight="1">
      <c r="A327" s="3238" t="s">
        <v>307</v>
      </c>
      <c r="B327" s="3229" t="s">
        <v>3153</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3154</v>
      </c>
      <c r="C329" s="3233">
        <v>2730</v>
      </c>
      <c r="D329" s="3233">
        <v>2690</v>
      </c>
      <c r="E329" s="3233">
        <v>3100</v>
      </c>
      <c r="F329" s="3233">
        <v>660</v>
      </c>
      <c r="G329" s="3233">
        <v>1610</v>
      </c>
    </row>
    <row r="330" spans="1:7" s="3222" customFormat="1" ht="14.25" customHeight="1">
      <c r="A330" s="3233" t="s">
        <v>307</v>
      </c>
      <c r="B330" s="3233" t="s">
        <v>3155</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2888</v>
      </c>
      <c r="C332" s="3233">
        <v>3520</v>
      </c>
      <c r="D332" s="3233">
        <v>3480</v>
      </c>
      <c r="E332" s="3233">
        <v>3830</v>
      </c>
      <c r="F332" s="3233">
        <v>720</v>
      </c>
      <c r="G332" s="3233">
        <v>2090</v>
      </c>
    </row>
    <row r="333" spans="1:7" s="3222" customFormat="1" ht="14.25" customHeight="1">
      <c r="A333" s="3233" t="s">
        <v>307</v>
      </c>
      <c r="B333" s="3233" t="s">
        <v>3156</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2898</v>
      </c>
      <c r="C336" s="3233">
        <v>3570</v>
      </c>
      <c r="D336" s="3233">
        <v>3530</v>
      </c>
      <c r="E336" s="3233">
        <v>3880</v>
      </c>
      <c r="F336" s="3233">
        <v>770</v>
      </c>
      <c r="G336" s="3233">
        <v>2110</v>
      </c>
    </row>
    <row r="337" spans="1:10" s="3222" customFormat="1" ht="14.25" customHeight="1">
      <c r="A337" s="3233" t="s">
        <v>307</v>
      </c>
      <c r="B337" s="3233" t="s">
        <v>3157</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3158</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3159</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2923</v>
      </c>
      <c r="C345" s="3233">
        <v>3190</v>
      </c>
      <c r="D345" s="3233">
        <v>3140</v>
      </c>
      <c r="E345" s="3233">
        <v>3450</v>
      </c>
      <c r="F345" s="3233">
        <v>720</v>
      </c>
      <c r="G345" s="3233">
        <v>1880</v>
      </c>
      <c r="J345" s="3222"/>
    </row>
    <row r="346" spans="1:10">
      <c r="A346" s="3233" t="s">
        <v>307</v>
      </c>
      <c r="B346" s="3233" t="s">
        <v>3160</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2932</v>
      </c>
      <c r="C348" s="3233">
        <v>4000</v>
      </c>
      <c r="D348" s="3233">
        <v>3950</v>
      </c>
      <c r="E348" s="3233">
        <v>4430</v>
      </c>
      <c r="F348" s="3233">
        <v>760</v>
      </c>
      <c r="G348" s="3233">
        <v>2360</v>
      </c>
      <c r="J348" s="3222"/>
    </row>
    <row r="349" spans="1:10">
      <c r="A349" s="3233" t="s">
        <v>307</v>
      </c>
      <c r="B349" s="3233" t="s">
        <v>2937</v>
      </c>
      <c r="C349" s="3233">
        <v>3820</v>
      </c>
      <c r="D349" s="3233">
        <v>3780</v>
      </c>
      <c r="E349" s="3233">
        <v>4170</v>
      </c>
      <c r="F349" s="3233">
        <v>710</v>
      </c>
      <c r="G349" s="3233">
        <v>2260</v>
      </c>
      <c r="J349" s="3222"/>
    </row>
    <row r="350" spans="1:10">
      <c r="A350" s="3233" t="s">
        <v>307</v>
      </c>
      <c r="B350" s="3233" t="s">
        <v>3161</v>
      </c>
      <c r="C350" s="3233">
        <v>3760</v>
      </c>
      <c r="D350" s="3233">
        <v>3730</v>
      </c>
      <c r="E350" s="3233">
        <v>4100</v>
      </c>
      <c r="F350" s="3233">
        <v>800</v>
      </c>
      <c r="G350" s="3233">
        <v>2230</v>
      </c>
      <c r="J350" s="3222"/>
    </row>
    <row r="351" spans="1:10">
      <c r="A351" s="3233" t="s">
        <v>307</v>
      </c>
      <c r="B351" s="3233" t="s">
        <v>2945</v>
      </c>
      <c r="C351" s="3233">
        <v>3610</v>
      </c>
      <c r="D351" s="3233">
        <v>3580</v>
      </c>
      <c r="E351" s="3233">
        <v>3930</v>
      </c>
      <c r="F351" s="3233">
        <v>700</v>
      </c>
      <c r="G351" s="3233">
        <v>2140</v>
      </c>
      <c r="J351" s="3222"/>
    </row>
    <row r="352" spans="1:10">
      <c r="A352" s="3233" t="s">
        <v>307</v>
      </c>
      <c r="B352" s="3233" t="s">
        <v>2950</v>
      </c>
      <c r="C352" s="3233">
        <v>3670</v>
      </c>
      <c r="D352" s="3233">
        <v>3630</v>
      </c>
      <c r="E352" s="3233">
        <v>4000</v>
      </c>
      <c r="F352" s="3233">
        <v>750</v>
      </c>
      <c r="G352" s="3233">
        <v>2180</v>
      </c>
    </row>
    <row r="353" spans="1:7" s="3226" customFormat="1">
      <c r="A353" s="3233" t="s">
        <v>307</v>
      </c>
      <c r="B353" s="3233" t="s">
        <v>3162</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2970</v>
      </c>
      <c r="C355" s="3233">
        <v>3650</v>
      </c>
      <c r="D355" s="3233">
        <v>3610</v>
      </c>
      <c r="E355" s="3233">
        <v>4200</v>
      </c>
      <c r="F355" s="3233">
        <v>640</v>
      </c>
      <c r="G355" s="3233">
        <v>2160</v>
      </c>
    </row>
    <row r="356" spans="1:7" s="3226" customFormat="1">
      <c r="A356" s="3233" t="s">
        <v>307</v>
      </c>
      <c r="B356" s="3233" t="s">
        <v>2977</v>
      </c>
      <c r="C356" s="3233">
        <v>3260</v>
      </c>
      <c r="D356" s="3233">
        <v>3230</v>
      </c>
      <c r="E356" s="3233">
        <v>3740</v>
      </c>
      <c r="F356" s="3233">
        <v>600</v>
      </c>
      <c r="G356" s="3233">
        <v>1930</v>
      </c>
    </row>
    <row r="357" spans="1:7" s="3226" customFormat="1" ht="12" thickBot="1">
      <c r="A357" s="3241" t="s">
        <v>307</v>
      </c>
      <c r="B357" s="3244" t="s">
        <v>3163</v>
      </c>
      <c r="C357" s="3244">
        <v>3690</v>
      </c>
      <c r="D357" s="3244">
        <v>3650</v>
      </c>
      <c r="E357" s="3244">
        <v>4020</v>
      </c>
      <c r="F357" s="3244">
        <v>700</v>
      </c>
      <c r="G357" s="3244">
        <v>2190</v>
      </c>
    </row>
    <row r="358" spans="1:7" s="3226" customFormat="1">
      <c r="A358" s="3238" t="s">
        <v>3164</v>
      </c>
      <c r="B358" s="3229" t="s">
        <v>3165</v>
      </c>
      <c r="C358" s="3229">
        <v>2080</v>
      </c>
      <c r="D358" s="3229">
        <v>2040</v>
      </c>
      <c r="E358" s="3229">
        <v>2010</v>
      </c>
      <c r="F358" s="3229">
        <v>530</v>
      </c>
      <c r="G358" s="3245">
        <v>1230</v>
      </c>
    </row>
    <row r="359" spans="1:7" s="3226" customFormat="1">
      <c r="A359" s="3233" t="s">
        <v>3164</v>
      </c>
      <c r="B359" s="3233" t="s">
        <v>3166</v>
      </c>
      <c r="C359" s="3233">
        <v>1850</v>
      </c>
      <c r="D359" s="3233">
        <v>1820</v>
      </c>
      <c r="E359" s="3233">
        <v>1780</v>
      </c>
      <c r="F359" s="3233">
        <v>520</v>
      </c>
      <c r="G359" s="3246">
        <v>1100</v>
      </c>
    </row>
    <row r="360" spans="1:7" s="3226" customFormat="1">
      <c r="A360" s="3233" t="s">
        <v>3164</v>
      </c>
      <c r="B360" s="3233" t="s">
        <v>3167</v>
      </c>
      <c r="C360" s="3233">
        <v>2020</v>
      </c>
      <c r="D360" s="3233">
        <v>1990</v>
      </c>
      <c r="E360" s="3233">
        <v>1950</v>
      </c>
      <c r="F360" s="3233">
        <v>500</v>
      </c>
      <c r="G360" s="3246">
        <v>1200</v>
      </c>
    </row>
    <row r="361" spans="1:7" s="3226" customFormat="1">
      <c r="A361" s="3233" t="s">
        <v>3164</v>
      </c>
      <c r="B361" s="3233" t="s">
        <v>153</v>
      </c>
      <c r="C361" s="3233">
        <v>2260</v>
      </c>
      <c r="D361" s="3233">
        <v>2220</v>
      </c>
      <c r="E361" s="3233">
        <v>2180</v>
      </c>
      <c r="F361" s="3233">
        <v>580</v>
      </c>
      <c r="G361" s="3246">
        <v>1340</v>
      </c>
    </row>
    <row r="362" spans="1:7" s="3226" customFormat="1">
      <c r="A362" s="3233" t="s">
        <v>3164</v>
      </c>
      <c r="B362" s="3233" t="s">
        <v>3168</v>
      </c>
      <c r="C362" s="3233">
        <v>2650</v>
      </c>
      <c r="D362" s="3233">
        <v>2610</v>
      </c>
      <c r="E362" s="3233">
        <v>2570</v>
      </c>
      <c r="F362" s="3233">
        <v>630</v>
      </c>
      <c r="G362" s="3246">
        <v>1570</v>
      </c>
    </row>
    <row r="363" spans="1:7" s="3226" customFormat="1">
      <c r="A363" s="3233" t="s">
        <v>3164</v>
      </c>
      <c r="B363" s="3233" t="s">
        <v>2889</v>
      </c>
      <c r="C363" s="3233">
        <v>2390</v>
      </c>
      <c r="D363" s="3233">
        <v>2360</v>
      </c>
      <c r="E363" s="3233">
        <v>2320</v>
      </c>
      <c r="F363" s="3233">
        <v>600</v>
      </c>
      <c r="G363" s="3246">
        <v>1420</v>
      </c>
    </row>
    <row r="364" spans="1:7" s="3226" customFormat="1">
      <c r="A364" s="3233" t="s">
        <v>3164</v>
      </c>
      <c r="B364" s="3233" t="s">
        <v>3169</v>
      </c>
      <c r="C364" s="3233">
        <v>2050</v>
      </c>
      <c r="D364" s="3233">
        <v>2030</v>
      </c>
      <c r="E364" s="3233">
        <v>1990</v>
      </c>
      <c r="F364" s="3233">
        <v>550</v>
      </c>
      <c r="G364" s="3246">
        <v>1220</v>
      </c>
    </row>
    <row r="365" spans="1:7" s="3226" customFormat="1">
      <c r="A365" s="3233" t="s">
        <v>3164</v>
      </c>
      <c r="B365" s="3233" t="s">
        <v>200</v>
      </c>
      <c r="C365" s="3233">
        <v>2140</v>
      </c>
      <c r="D365" s="3233">
        <v>2100</v>
      </c>
      <c r="E365" s="3233">
        <v>2060</v>
      </c>
      <c r="F365" s="3233">
        <v>540</v>
      </c>
      <c r="G365" s="3246">
        <v>1270</v>
      </c>
    </row>
    <row r="366" spans="1:7" s="3226" customFormat="1">
      <c r="A366" s="3233" t="s">
        <v>3164</v>
      </c>
      <c r="B366" s="3233" t="s">
        <v>2896</v>
      </c>
      <c r="C366" s="3233">
        <v>2410</v>
      </c>
      <c r="D366" s="3233">
        <v>2370</v>
      </c>
      <c r="E366" s="3233">
        <v>2330</v>
      </c>
      <c r="F366" s="3233">
        <v>570</v>
      </c>
      <c r="G366" s="3246">
        <v>1440</v>
      </c>
    </row>
    <row r="367" spans="1:7" s="3226" customFormat="1">
      <c r="A367" s="3233" t="s">
        <v>3164</v>
      </c>
      <c r="B367" s="3233" t="s">
        <v>3170</v>
      </c>
      <c r="C367" s="3233">
        <v>2300</v>
      </c>
      <c r="D367" s="3233">
        <v>2260</v>
      </c>
      <c r="E367" s="3233">
        <v>2220</v>
      </c>
      <c r="F367" s="3233">
        <v>560</v>
      </c>
      <c r="G367" s="3246">
        <v>1370</v>
      </c>
    </row>
    <row r="368" spans="1:7" s="3226" customFormat="1">
      <c r="A368" s="3233" t="s">
        <v>3164</v>
      </c>
      <c r="B368" s="3233" t="s">
        <v>3171</v>
      </c>
      <c r="C368" s="3233">
        <v>2430</v>
      </c>
      <c r="D368" s="3233">
        <v>2390</v>
      </c>
      <c r="E368" s="3233">
        <v>2350</v>
      </c>
      <c r="F368" s="3233">
        <v>570</v>
      </c>
      <c r="G368" s="3246">
        <v>1450</v>
      </c>
    </row>
    <row r="369" spans="1:7" s="3226" customFormat="1">
      <c r="A369" s="3233" t="s">
        <v>3164</v>
      </c>
      <c r="B369" s="3233" t="s">
        <v>214</v>
      </c>
      <c r="C369" s="3233">
        <v>2320</v>
      </c>
      <c r="D369" s="3233">
        <v>2290</v>
      </c>
      <c r="E369" s="3233">
        <v>2250</v>
      </c>
      <c r="F369" s="3233">
        <v>550</v>
      </c>
      <c r="G369" s="3246">
        <v>1380</v>
      </c>
    </row>
    <row r="370" spans="1:7" s="3226" customFormat="1">
      <c r="A370" s="3233" t="s">
        <v>3164</v>
      </c>
      <c r="B370" s="3233" t="s">
        <v>221</v>
      </c>
      <c r="C370" s="3233">
        <v>2190</v>
      </c>
      <c r="D370" s="3233">
        <v>2170</v>
      </c>
      <c r="E370" s="3233">
        <v>2130</v>
      </c>
      <c r="F370" s="3233">
        <v>530</v>
      </c>
      <c r="G370" s="3246">
        <v>1310</v>
      </c>
    </row>
    <row r="371" spans="1:7" s="3226" customFormat="1">
      <c r="A371" s="3233" t="s">
        <v>3164</v>
      </c>
      <c r="B371" s="3233" t="s">
        <v>229</v>
      </c>
      <c r="C371" s="3233">
        <v>2460</v>
      </c>
      <c r="D371" s="3233">
        <v>2420</v>
      </c>
      <c r="E371" s="3233">
        <v>2370</v>
      </c>
      <c r="F371" s="3233">
        <v>560</v>
      </c>
      <c r="G371" s="3246">
        <v>1470</v>
      </c>
    </row>
    <row r="372" spans="1:7" s="3226" customFormat="1">
      <c r="A372" s="3233" t="s">
        <v>3164</v>
      </c>
      <c r="B372" s="3233" t="s">
        <v>3172</v>
      </c>
      <c r="C372" s="3233">
        <v>2250</v>
      </c>
      <c r="D372" s="3233">
        <v>2210</v>
      </c>
      <c r="E372" s="3233">
        <v>2180</v>
      </c>
      <c r="F372" s="3233">
        <v>550</v>
      </c>
      <c r="G372" s="3246">
        <v>1340</v>
      </c>
    </row>
    <row r="373" spans="1:7" s="3226" customFormat="1">
      <c r="A373" s="3233" t="s">
        <v>3164</v>
      </c>
      <c r="B373" s="3233" t="s">
        <v>258</v>
      </c>
      <c r="C373" s="3233">
        <v>2210</v>
      </c>
      <c r="D373" s="3233">
        <v>2190</v>
      </c>
      <c r="E373" s="3233">
        <v>2150</v>
      </c>
      <c r="F373" s="3233">
        <v>530</v>
      </c>
      <c r="G373" s="3246">
        <v>1320</v>
      </c>
    </row>
    <row r="374" spans="1:7" s="3226" customFormat="1">
      <c r="A374" s="3233" t="s">
        <v>3164</v>
      </c>
      <c r="B374" s="3233" t="s">
        <v>266</v>
      </c>
      <c r="C374" s="3233">
        <v>2320</v>
      </c>
      <c r="D374" s="3233">
        <v>2280</v>
      </c>
      <c r="E374" s="3233">
        <v>2230</v>
      </c>
      <c r="F374" s="3233">
        <v>580</v>
      </c>
      <c r="G374" s="3246">
        <v>1380</v>
      </c>
    </row>
    <row r="375" spans="1:7" s="3226" customFormat="1">
      <c r="A375" s="3233" t="s">
        <v>3164</v>
      </c>
      <c r="B375" s="3233" t="s">
        <v>3173</v>
      </c>
      <c r="C375" s="3233">
        <v>2090</v>
      </c>
      <c r="D375" s="3233">
        <v>2050</v>
      </c>
      <c r="E375" s="3233">
        <v>2020</v>
      </c>
      <c r="F375" s="3233">
        <v>520</v>
      </c>
      <c r="G375" s="3246">
        <v>1240</v>
      </c>
    </row>
    <row r="376" spans="1:7" s="3226" customFormat="1">
      <c r="A376" s="3233" t="s">
        <v>3164</v>
      </c>
      <c r="B376" s="3233" t="s">
        <v>277</v>
      </c>
      <c r="C376" s="3233">
        <v>2010</v>
      </c>
      <c r="D376" s="3233">
        <v>1980</v>
      </c>
      <c r="E376" s="3233">
        <v>1940</v>
      </c>
      <c r="F376" s="3233">
        <v>540</v>
      </c>
      <c r="G376" s="3246">
        <v>1190</v>
      </c>
    </row>
    <row r="377" spans="1:7" s="3226" customFormat="1" ht="12" thickBot="1">
      <c r="A377" s="3241" t="s">
        <v>3164</v>
      </c>
      <c r="B377" s="3244" t="s">
        <v>2926</v>
      </c>
      <c r="C377" s="3244">
        <v>1930</v>
      </c>
      <c r="D377" s="3244">
        <v>1890</v>
      </c>
      <c r="E377" s="3244">
        <v>1860</v>
      </c>
      <c r="F377" s="3244">
        <v>530</v>
      </c>
      <c r="G377" s="3249">
        <v>1150</v>
      </c>
    </row>
    <row r="378" spans="1:7" s="3226" customFormat="1">
      <c r="A378" s="3250" t="s">
        <v>3174</v>
      </c>
      <c r="B378" s="3229" t="s">
        <v>3175</v>
      </c>
      <c r="C378" s="3229">
        <v>1520</v>
      </c>
      <c r="D378" s="3229">
        <v>1490</v>
      </c>
      <c r="E378" s="3229">
        <v>1460</v>
      </c>
      <c r="F378" s="3229">
        <v>460</v>
      </c>
      <c r="G378" s="3245">
        <v>940</v>
      </c>
    </row>
    <row r="379" spans="1:7" s="3226" customFormat="1">
      <c r="A379" s="3251" t="s">
        <v>3174</v>
      </c>
      <c r="B379" s="3233" t="s">
        <v>3176</v>
      </c>
      <c r="C379" s="3233">
        <v>1500</v>
      </c>
      <c r="D379" s="3233">
        <v>1470</v>
      </c>
      <c r="E379" s="3233">
        <v>1430</v>
      </c>
      <c r="F379" s="3233">
        <v>460</v>
      </c>
      <c r="G379" s="3246">
        <v>920</v>
      </c>
    </row>
    <row r="380" spans="1:7" s="3226" customFormat="1">
      <c r="A380" s="3251" t="s">
        <v>3174</v>
      </c>
      <c r="B380" s="3233" t="s">
        <v>3177</v>
      </c>
      <c r="C380" s="3233">
        <v>1620</v>
      </c>
      <c r="D380" s="3233">
        <v>1590</v>
      </c>
      <c r="E380" s="3233">
        <v>1560</v>
      </c>
      <c r="F380" s="3233">
        <v>480</v>
      </c>
      <c r="G380" s="3246">
        <v>1000</v>
      </c>
    </row>
    <row r="381" spans="1:7" s="3226" customFormat="1">
      <c r="A381" s="3251" t="s">
        <v>3174</v>
      </c>
      <c r="B381" s="3233" t="s">
        <v>3178</v>
      </c>
      <c r="C381" s="3233">
        <v>1460</v>
      </c>
      <c r="D381" s="3233">
        <v>1430</v>
      </c>
      <c r="E381" s="3233">
        <v>1390</v>
      </c>
      <c r="F381" s="3233">
        <v>450</v>
      </c>
      <c r="G381" s="3246">
        <v>900</v>
      </c>
    </row>
    <row r="382" spans="1:7" s="3226" customFormat="1">
      <c r="A382" s="3251" t="s">
        <v>3174</v>
      </c>
      <c r="B382" s="3233" t="s">
        <v>3179</v>
      </c>
      <c r="C382" s="3233">
        <v>1310</v>
      </c>
      <c r="D382" s="3233">
        <v>1280</v>
      </c>
      <c r="E382" s="3233">
        <v>1250</v>
      </c>
      <c r="F382" s="3233">
        <v>440</v>
      </c>
      <c r="G382" s="3246">
        <v>800</v>
      </c>
    </row>
    <row r="383" spans="1:7" s="3226" customFormat="1">
      <c r="A383" s="3251" t="s">
        <v>3174</v>
      </c>
      <c r="B383" s="3233" t="s">
        <v>3180</v>
      </c>
      <c r="C383" s="3233">
        <v>1260</v>
      </c>
      <c r="D383" s="3233">
        <v>1230</v>
      </c>
      <c r="E383" s="3233">
        <v>1200</v>
      </c>
      <c r="F383" s="3233">
        <v>420</v>
      </c>
      <c r="G383" s="3246">
        <v>770</v>
      </c>
    </row>
    <row r="384" spans="1:7" s="3226" customFormat="1" ht="12" thickBot="1">
      <c r="A384" s="3252" t="s">
        <v>3174</v>
      </c>
      <c r="B384" s="3240" t="s">
        <v>3181</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992" t="s">
        <v>3182</v>
      </c>
      <c r="B1" s="3992"/>
    </row>
    <row r="2" spans="1:7" ht="14.25" thickBot="1">
      <c r="A2" s="3255"/>
      <c r="B2" s="3255"/>
    </row>
    <row r="3" spans="1:7" ht="14.25" thickBot="1">
      <c r="A3" s="3255"/>
      <c r="B3" s="3255"/>
      <c r="C3" s="3256" t="s">
        <v>2812</v>
      </c>
      <c r="D3" s="3256" t="s">
        <v>2868</v>
      </c>
      <c r="E3" s="3256" t="s">
        <v>2814</v>
      </c>
      <c r="F3" s="3256" t="s">
        <v>2869</v>
      </c>
      <c r="G3" s="3256" t="s">
        <v>2632</v>
      </c>
    </row>
    <row r="4" spans="1:7" ht="14.25" thickBot="1">
      <c r="A4" s="3257" t="s">
        <v>2867</v>
      </c>
      <c r="B4" s="3258" t="s">
        <v>2873</v>
      </c>
      <c r="C4" s="3256"/>
      <c r="D4" s="3256"/>
      <c r="E4" s="3256"/>
      <c r="F4" s="3256"/>
      <c r="G4" s="3256"/>
    </row>
    <row r="5" spans="1:7">
      <c r="A5" s="3259" t="s">
        <v>2841</v>
      </c>
      <c r="B5" s="3260" t="s">
        <v>2855</v>
      </c>
      <c r="C5" s="3261">
        <v>9.8000000000000004E-2</v>
      </c>
      <c r="D5" s="3261">
        <v>8.6999999999999994E-2</v>
      </c>
      <c r="E5" s="3261">
        <v>8.6999999999999994E-2</v>
      </c>
      <c r="F5" s="3261">
        <v>9.8000000000000004E-2</v>
      </c>
      <c r="G5" s="3262">
        <v>9.5000000000000001E-2</v>
      </c>
    </row>
    <row r="6" spans="1:7">
      <c r="A6" s="3263" t="s">
        <v>144</v>
      </c>
      <c r="B6" s="3264" t="s">
        <v>2870</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2856</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2906</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2924</v>
      </c>
      <c r="C29" s="3273"/>
      <c r="D29" s="3269">
        <v>5.1999999999999998E-2</v>
      </c>
      <c r="E29" s="3269">
        <v>7.0000000000000007E-2</v>
      </c>
      <c r="F29" s="3273"/>
      <c r="G29" s="3271">
        <v>7.0999999999999994E-2</v>
      </c>
    </row>
    <row r="30" spans="1:7">
      <c r="A30" s="3274" t="s">
        <v>296</v>
      </c>
      <c r="B30" s="3260" t="s">
        <v>2857</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2843</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2927</v>
      </c>
      <c r="C50" s="3265">
        <v>9.8000000000000004E-2</v>
      </c>
      <c r="D50" s="3265">
        <v>7.2999999999999995E-2</v>
      </c>
      <c r="E50" s="3265">
        <v>7.0999999999999994E-2</v>
      </c>
      <c r="F50" s="3276"/>
      <c r="G50" s="3266">
        <v>7.2999999999999995E-2</v>
      </c>
    </row>
    <row r="51" spans="1:7">
      <c r="A51" s="3275" t="s">
        <v>296</v>
      </c>
      <c r="B51" s="3264" t="s">
        <v>2929</v>
      </c>
      <c r="C51" s="3265">
        <v>9.9000000000000005E-2</v>
      </c>
      <c r="D51" s="3265">
        <v>8.5000000000000006E-2</v>
      </c>
      <c r="E51" s="3265">
        <v>6.3E-2</v>
      </c>
      <c r="F51" s="3276"/>
      <c r="G51" s="3266">
        <v>9.6000000000000002E-2</v>
      </c>
    </row>
    <row r="52" spans="1:7">
      <c r="A52" s="3275" t="s">
        <v>296</v>
      </c>
      <c r="B52" s="3264" t="s">
        <v>2933</v>
      </c>
      <c r="C52" s="3265">
        <v>7.3999999999999996E-2</v>
      </c>
      <c r="D52" s="3265">
        <v>9.6000000000000002E-2</v>
      </c>
      <c r="E52" s="3265">
        <v>0.05</v>
      </c>
      <c r="F52" s="3276"/>
      <c r="G52" s="3266">
        <v>9.8000000000000004E-2</v>
      </c>
    </row>
    <row r="53" spans="1:7">
      <c r="A53" s="3275" t="s">
        <v>296</v>
      </c>
      <c r="B53" s="3264" t="s">
        <v>2938</v>
      </c>
      <c r="C53" s="3265">
        <v>8.5999999999999993E-2</v>
      </c>
      <c r="D53" s="3276"/>
      <c r="E53" s="3265">
        <v>9.1999999999999998E-2</v>
      </c>
      <c r="F53" s="3276"/>
      <c r="G53" s="3277"/>
    </row>
    <row r="54" spans="1:7" ht="14.25" thickBot="1">
      <c r="A54" s="3278" t="s">
        <v>296</v>
      </c>
      <c r="B54" s="3268" t="s">
        <v>2941</v>
      </c>
      <c r="C54" s="3269">
        <v>9.6000000000000002E-2</v>
      </c>
      <c r="D54" s="3270"/>
      <c r="E54" s="3279"/>
      <c r="F54" s="3270"/>
      <c r="G54" s="3280"/>
    </row>
    <row r="55" spans="1:7">
      <c r="A55" s="3274" t="s">
        <v>110</v>
      </c>
      <c r="B55" s="3260" t="s">
        <v>2858</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2939</v>
      </c>
      <c r="C78" s="3265">
        <v>0.1</v>
      </c>
      <c r="D78" s="3265">
        <v>8.5000000000000006E-2</v>
      </c>
      <c r="E78" s="3265">
        <v>9.6000000000000002E-2</v>
      </c>
      <c r="F78" s="3276"/>
      <c r="G78" s="3266">
        <v>9.6000000000000002E-2</v>
      </c>
    </row>
    <row r="79" spans="1:7">
      <c r="A79" s="3275" t="s">
        <v>110</v>
      </c>
      <c r="B79" s="3264" t="s">
        <v>2942</v>
      </c>
      <c r="C79" s="3265">
        <v>0.05</v>
      </c>
      <c r="D79" s="3265">
        <v>9.6000000000000002E-2</v>
      </c>
      <c r="E79" s="3265">
        <v>9.5000000000000001E-2</v>
      </c>
      <c r="F79" s="3276"/>
      <c r="G79" s="3266">
        <v>9.8000000000000004E-2</v>
      </c>
    </row>
    <row r="80" spans="1:7">
      <c r="A80" s="3275" t="s">
        <v>110</v>
      </c>
      <c r="B80" s="3264" t="s">
        <v>2946</v>
      </c>
      <c r="C80" s="3265">
        <v>8.5999999999999993E-2</v>
      </c>
      <c r="D80" s="3281"/>
      <c r="E80" s="3265">
        <v>0.1</v>
      </c>
      <c r="F80" s="3276"/>
      <c r="G80" s="3277"/>
    </row>
    <row r="81" spans="1:7">
      <c r="A81" s="3275" t="s">
        <v>110</v>
      </c>
      <c r="B81" s="3264" t="s">
        <v>2951</v>
      </c>
      <c r="C81" s="3265">
        <v>9.6000000000000002E-2</v>
      </c>
      <c r="D81" s="3276"/>
      <c r="E81" s="3265">
        <v>9.8000000000000004E-2</v>
      </c>
      <c r="F81" s="3276"/>
      <c r="G81" s="3277"/>
    </row>
    <row r="82" spans="1:7">
      <c r="A82" s="3275" t="s">
        <v>110</v>
      </c>
      <c r="B82" s="3264" t="s">
        <v>2958</v>
      </c>
      <c r="C82" s="3281"/>
      <c r="D82" s="3276"/>
      <c r="E82" s="3265">
        <v>7.6999999999999999E-2</v>
      </c>
      <c r="F82" s="3276"/>
      <c r="G82" s="3277"/>
    </row>
    <row r="83" spans="1:7">
      <c r="A83" s="3275" t="s">
        <v>110</v>
      </c>
      <c r="B83" s="3264" t="s">
        <v>2964</v>
      </c>
      <c r="C83" s="3276"/>
      <c r="D83" s="3276"/>
      <c r="E83" s="3276"/>
      <c r="F83" s="3265">
        <v>0.1</v>
      </c>
      <c r="G83" s="3282"/>
    </row>
    <row r="84" spans="1:7">
      <c r="A84" s="3275" t="s">
        <v>110</v>
      </c>
      <c r="B84" s="3264" t="s">
        <v>2971</v>
      </c>
      <c r="C84" s="3276"/>
      <c r="D84" s="3276"/>
      <c r="E84" s="3276"/>
      <c r="F84" s="3265">
        <v>0.1</v>
      </c>
      <c r="G84" s="3282"/>
    </row>
    <row r="85" spans="1:7">
      <c r="A85" s="3275" t="s">
        <v>110</v>
      </c>
      <c r="B85" s="3264" t="s">
        <v>2978</v>
      </c>
      <c r="C85" s="3276"/>
      <c r="D85" s="3276"/>
      <c r="E85" s="3276"/>
      <c r="F85" s="3265">
        <v>0.1</v>
      </c>
      <c r="G85" s="3282"/>
    </row>
    <row r="86" spans="1:7" ht="14.25" thickBot="1">
      <c r="A86" s="3278" t="s">
        <v>110</v>
      </c>
      <c r="B86" s="3268" t="s">
        <v>2983</v>
      </c>
      <c r="C86" s="3269">
        <v>9.8000000000000004E-2</v>
      </c>
      <c r="D86" s="3269">
        <v>9.8000000000000004E-2</v>
      </c>
      <c r="E86" s="3269">
        <v>9.6000000000000002E-2</v>
      </c>
      <c r="F86" s="3279"/>
      <c r="G86" s="3271">
        <v>0.1</v>
      </c>
    </row>
    <row r="87" spans="1:7">
      <c r="A87" s="3274" t="s">
        <v>303</v>
      </c>
      <c r="B87" s="3260" t="s">
        <v>2859</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2952</v>
      </c>
      <c r="C113" s="3265">
        <v>0.1</v>
      </c>
      <c r="D113" s="3265">
        <v>0.1</v>
      </c>
      <c r="E113" s="3276"/>
      <c r="F113" s="3276"/>
      <c r="G113" s="3266">
        <v>0.1</v>
      </c>
    </row>
    <row r="114" spans="1:7">
      <c r="A114" s="3275" t="s">
        <v>303</v>
      </c>
      <c r="B114" s="3264" t="s">
        <v>2959</v>
      </c>
      <c r="C114" s="3265">
        <v>9.7000000000000003E-2</v>
      </c>
      <c r="D114" s="3265">
        <v>9.7000000000000003E-2</v>
      </c>
      <c r="E114" s="3276"/>
      <c r="F114" s="3276"/>
      <c r="G114" s="3266">
        <v>9.9000000000000005E-2</v>
      </c>
    </row>
    <row r="115" spans="1:7">
      <c r="A115" s="3275" t="s">
        <v>303</v>
      </c>
      <c r="B115" s="3264" t="s">
        <v>2965</v>
      </c>
      <c r="C115" s="3265">
        <v>0.1</v>
      </c>
      <c r="D115" s="3265">
        <v>0.1</v>
      </c>
      <c r="E115" s="3276"/>
      <c r="F115" s="3276"/>
      <c r="G115" s="3266">
        <v>0.1</v>
      </c>
    </row>
    <row r="116" spans="1:7">
      <c r="A116" s="3275" t="s">
        <v>303</v>
      </c>
      <c r="B116" s="3264" t="s">
        <v>2972</v>
      </c>
      <c r="C116" s="3265">
        <v>0.1</v>
      </c>
      <c r="D116" s="3265">
        <v>0.1</v>
      </c>
      <c r="E116" s="3276"/>
      <c r="F116" s="3276"/>
      <c r="G116" s="3266">
        <v>0.1</v>
      </c>
    </row>
    <row r="117" spans="1:7">
      <c r="A117" s="3275" t="s">
        <v>303</v>
      </c>
      <c r="B117" s="3264" t="s">
        <v>2979</v>
      </c>
      <c r="C117" s="3265">
        <v>9.7000000000000003E-2</v>
      </c>
      <c r="D117" s="3265">
        <v>9.7000000000000003E-2</v>
      </c>
      <c r="E117" s="3276"/>
      <c r="F117" s="3276"/>
      <c r="G117" s="3266">
        <v>9.7000000000000003E-2</v>
      </c>
    </row>
    <row r="118" spans="1:7">
      <c r="A118" s="3275" t="s">
        <v>303</v>
      </c>
      <c r="B118" s="3264" t="s">
        <v>2984</v>
      </c>
      <c r="C118" s="3265">
        <v>0.1</v>
      </c>
      <c r="D118" s="3265">
        <v>0.1</v>
      </c>
      <c r="E118" s="3276"/>
      <c r="F118" s="3276"/>
      <c r="G118" s="3266">
        <v>0.1</v>
      </c>
    </row>
    <row r="119" spans="1:7">
      <c r="A119" s="3275" t="s">
        <v>303</v>
      </c>
      <c r="B119" s="3264" t="s">
        <v>2988</v>
      </c>
      <c r="C119" s="3265">
        <v>5.0999999999999997E-2</v>
      </c>
      <c r="D119" s="3265">
        <v>5.1999999999999998E-2</v>
      </c>
      <c r="E119" s="3276"/>
      <c r="F119" s="3281"/>
      <c r="G119" s="3266">
        <v>0.06</v>
      </c>
    </row>
    <row r="120" spans="1:7">
      <c r="A120" s="3275" t="s">
        <v>303</v>
      </c>
      <c r="B120" s="3264" t="s">
        <v>2992</v>
      </c>
      <c r="C120" s="3276"/>
      <c r="D120" s="3276"/>
      <c r="E120" s="3276"/>
      <c r="F120" s="3265">
        <v>0.1</v>
      </c>
      <c r="G120" s="3282"/>
    </row>
    <row r="121" spans="1:7">
      <c r="A121" s="3275" t="s">
        <v>303</v>
      </c>
      <c r="B121" s="3264" t="s">
        <v>2997</v>
      </c>
      <c r="C121" s="3276"/>
      <c r="D121" s="3276"/>
      <c r="E121" s="3276"/>
      <c r="F121" s="3265">
        <v>0.1</v>
      </c>
      <c r="G121" s="3282"/>
    </row>
    <row r="122" spans="1:7">
      <c r="A122" s="3275" t="s">
        <v>303</v>
      </c>
      <c r="B122" s="3264" t="s">
        <v>3002</v>
      </c>
      <c r="C122" s="3265">
        <v>0.1</v>
      </c>
      <c r="D122" s="3265">
        <v>0.1</v>
      </c>
      <c r="E122" s="3265">
        <v>9.8000000000000004E-2</v>
      </c>
      <c r="F122" s="3265">
        <v>0.1</v>
      </c>
      <c r="G122" s="3266">
        <v>0.1</v>
      </c>
    </row>
    <row r="123" spans="1:7">
      <c r="A123" s="3275" t="s">
        <v>303</v>
      </c>
      <c r="B123" s="3264" t="s">
        <v>3007</v>
      </c>
      <c r="C123" s="3265">
        <v>0.1</v>
      </c>
      <c r="D123" s="3265">
        <v>0.1</v>
      </c>
      <c r="E123" s="3265">
        <v>9.8000000000000004E-2</v>
      </c>
      <c r="F123" s="3265">
        <v>0.1</v>
      </c>
      <c r="G123" s="3266">
        <v>0.1</v>
      </c>
    </row>
    <row r="124" spans="1:7">
      <c r="A124" s="3275" t="s">
        <v>303</v>
      </c>
      <c r="B124" s="3264" t="s">
        <v>3012</v>
      </c>
      <c r="C124" s="3265">
        <v>0.1</v>
      </c>
      <c r="D124" s="3265">
        <v>0.1</v>
      </c>
      <c r="E124" s="3265">
        <v>9.8000000000000004E-2</v>
      </c>
      <c r="F124" s="3281"/>
      <c r="G124" s="3266">
        <v>0.1</v>
      </c>
    </row>
    <row r="125" spans="1:7">
      <c r="A125" s="3275" t="s">
        <v>303</v>
      </c>
      <c r="B125" s="3264" t="s">
        <v>3017</v>
      </c>
      <c r="C125" s="3265">
        <v>9.8000000000000004E-2</v>
      </c>
      <c r="D125" s="3265">
        <v>9.8000000000000004E-2</v>
      </c>
      <c r="E125" s="3265">
        <v>9.6000000000000002E-2</v>
      </c>
      <c r="F125" s="3281"/>
      <c r="G125" s="3266">
        <v>0.1</v>
      </c>
    </row>
    <row r="126" spans="1:7" ht="14.25" thickBot="1">
      <c r="A126" s="3278" t="s">
        <v>303</v>
      </c>
      <c r="B126" s="3268" t="s">
        <v>3183</v>
      </c>
      <c r="C126" s="3269">
        <v>0.1</v>
      </c>
      <c r="D126" s="3269">
        <v>0.1</v>
      </c>
      <c r="E126" s="3269">
        <v>9.8000000000000004E-2</v>
      </c>
      <c r="F126" s="3269">
        <v>0.1</v>
      </c>
      <c r="G126" s="3271">
        <v>0.1</v>
      </c>
    </row>
    <row r="127" spans="1:7">
      <c r="A127" s="3274" t="s">
        <v>29</v>
      </c>
      <c r="B127" s="3260" t="s">
        <v>2860</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2930</v>
      </c>
      <c r="C148" s="3265">
        <v>0.13</v>
      </c>
      <c r="D148" s="3265">
        <v>0.13</v>
      </c>
      <c r="E148" s="3265">
        <v>0.13</v>
      </c>
      <c r="F148" s="3276"/>
      <c r="G148" s="3266">
        <v>0.13</v>
      </c>
    </row>
    <row r="149" spans="1:7">
      <c r="A149" s="3275" t="s">
        <v>29</v>
      </c>
      <c r="B149" s="3264" t="s">
        <v>2934</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2953</v>
      </c>
      <c r="C153" s="3265">
        <v>0.13</v>
      </c>
      <c r="D153" s="3265">
        <v>0.13</v>
      </c>
      <c r="E153" s="3265">
        <v>0.13</v>
      </c>
      <c r="F153" s="3265">
        <v>0.13</v>
      </c>
      <c r="G153" s="3266">
        <v>0.13</v>
      </c>
    </row>
    <row r="154" spans="1:7">
      <c r="A154" s="3275" t="s">
        <v>29</v>
      </c>
      <c r="B154" s="3264" t="s">
        <v>2960</v>
      </c>
      <c r="C154" s="3265">
        <v>0.121</v>
      </c>
      <c r="D154" s="3265">
        <v>0.121</v>
      </c>
      <c r="E154" s="3265">
        <v>0.105</v>
      </c>
      <c r="F154" s="3265">
        <v>0.121</v>
      </c>
      <c r="G154" s="3266">
        <v>0.123</v>
      </c>
    </row>
    <row r="155" spans="1:7">
      <c r="A155" s="3275" t="s">
        <v>29</v>
      </c>
      <c r="B155" s="3264" t="s">
        <v>2966</v>
      </c>
      <c r="C155" s="3265">
        <v>0.1</v>
      </c>
      <c r="D155" s="3265">
        <v>0.1</v>
      </c>
      <c r="E155" s="3265">
        <v>0.1</v>
      </c>
      <c r="F155" s="3265">
        <v>0.1</v>
      </c>
      <c r="G155" s="3266">
        <v>0.1</v>
      </c>
    </row>
    <row r="156" spans="1:7">
      <c r="A156" s="3275" t="s">
        <v>29</v>
      </c>
      <c r="B156" s="3264" t="s">
        <v>2973</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2993</v>
      </c>
      <c r="C160" s="3265">
        <v>0.13</v>
      </c>
      <c r="D160" s="3265">
        <v>0.13</v>
      </c>
      <c r="E160" s="3265">
        <v>0.124</v>
      </c>
      <c r="F160" s="3265">
        <v>0.126</v>
      </c>
      <c r="G160" s="3266">
        <v>0.13</v>
      </c>
    </row>
    <row r="161" spans="1:7">
      <c r="A161" s="3275" t="s">
        <v>29</v>
      </c>
      <c r="B161" s="3264" t="s">
        <v>2998</v>
      </c>
      <c r="C161" s="3265">
        <v>0.13</v>
      </c>
      <c r="D161" s="3265">
        <v>0.13</v>
      </c>
      <c r="E161" s="3265">
        <v>0.124</v>
      </c>
      <c r="F161" s="3265">
        <v>0.127</v>
      </c>
      <c r="G161" s="3266">
        <v>0.13</v>
      </c>
    </row>
    <row r="162" spans="1:7">
      <c r="A162" s="3275" t="s">
        <v>29</v>
      </c>
      <c r="B162" s="3264" t="s">
        <v>3003</v>
      </c>
      <c r="C162" s="3265">
        <v>0.1</v>
      </c>
      <c r="D162" s="3265">
        <v>0.1</v>
      </c>
      <c r="E162" s="3265">
        <v>0.1</v>
      </c>
      <c r="F162" s="3265">
        <v>0.121</v>
      </c>
      <c r="G162" s="3266">
        <v>0.105</v>
      </c>
    </row>
    <row r="163" spans="1:7">
      <c r="A163" s="3275" t="s">
        <v>29</v>
      </c>
      <c r="B163" s="3264" t="s">
        <v>3008</v>
      </c>
      <c r="C163" s="3265">
        <v>0.1</v>
      </c>
      <c r="D163" s="3265">
        <v>0.1</v>
      </c>
      <c r="E163" s="3265">
        <v>0.1</v>
      </c>
      <c r="F163" s="3265">
        <v>0.1</v>
      </c>
      <c r="G163" s="3266">
        <v>0.1</v>
      </c>
    </row>
    <row r="164" spans="1:7">
      <c r="A164" s="3275" t="s">
        <v>29</v>
      </c>
      <c r="B164" s="3264" t="s">
        <v>3013</v>
      </c>
      <c r="C164" s="3281"/>
      <c r="D164" s="3281"/>
      <c r="E164" s="3281"/>
      <c r="F164" s="3265">
        <v>0.1</v>
      </c>
      <c r="G164" s="3277"/>
    </row>
    <row r="165" spans="1:7">
      <c r="A165" s="3275" t="s">
        <v>29</v>
      </c>
      <c r="B165" s="3264" t="s">
        <v>3184</v>
      </c>
      <c r="C165" s="3265">
        <v>0.126</v>
      </c>
      <c r="D165" s="3265">
        <v>0.126</v>
      </c>
      <c r="E165" s="3265">
        <v>0.11899999999999999</v>
      </c>
      <c r="F165" s="3265">
        <v>0.13</v>
      </c>
      <c r="G165" s="3266">
        <v>0.128</v>
      </c>
    </row>
    <row r="166" spans="1:7">
      <c r="A166" s="3275" t="s">
        <v>29</v>
      </c>
      <c r="B166" s="3264" t="s">
        <v>3023</v>
      </c>
      <c r="C166" s="3265">
        <v>0.129</v>
      </c>
      <c r="D166" s="3265">
        <v>0.129</v>
      </c>
      <c r="E166" s="3265">
        <v>0.123</v>
      </c>
      <c r="F166" s="3265">
        <v>0.128</v>
      </c>
      <c r="G166" s="3266">
        <v>0.13</v>
      </c>
    </row>
    <row r="167" spans="1:7">
      <c r="A167" s="3275" t="s">
        <v>29</v>
      </c>
      <c r="B167" s="3264" t="s">
        <v>3027</v>
      </c>
      <c r="C167" s="3265">
        <v>0.125</v>
      </c>
      <c r="D167" s="3265">
        <v>0.125</v>
      </c>
      <c r="E167" s="3265">
        <v>0.11700000000000001</v>
      </c>
      <c r="F167" s="3265">
        <v>0.13</v>
      </c>
      <c r="G167" s="3266">
        <v>0.126</v>
      </c>
    </row>
    <row r="168" spans="1:7">
      <c r="A168" s="3275" t="s">
        <v>29</v>
      </c>
      <c r="B168" s="3264" t="s">
        <v>3032</v>
      </c>
      <c r="C168" s="3265">
        <v>0.128</v>
      </c>
      <c r="D168" s="3265">
        <v>0.128</v>
      </c>
      <c r="E168" s="3265">
        <v>0.123</v>
      </c>
      <c r="F168" s="3276"/>
      <c r="G168" s="3266">
        <v>0.13</v>
      </c>
    </row>
    <row r="169" spans="1:7">
      <c r="A169" s="3275" t="s">
        <v>29</v>
      </c>
      <c r="B169" s="3264" t="s">
        <v>3185</v>
      </c>
      <c r="C169" s="3281"/>
      <c r="D169" s="3281"/>
      <c r="E169" s="3281"/>
      <c r="F169" s="3265">
        <v>0.05</v>
      </c>
      <c r="G169" s="3277"/>
    </row>
    <row r="170" spans="1:7">
      <c r="A170" s="3275" t="s">
        <v>29</v>
      </c>
      <c r="B170" s="3264" t="s">
        <v>3186</v>
      </c>
      <c r="C170" s="3281"/>
      <c r="D170" s="3281"/>
      <c r="E170" s="3281"/>
      <c r="F170" s="3265">
        <v>0.05</v>
      </c>
      <c r="G170" s="3277"/>
    </row>
    <row r="171" spans="1:7">
      <c r="A171" s="3275" t="s">
        <v>29</v>
      </c>
      <c r="B171" s="3264" t="s">
        <v>3187</v>
      </c>
      <c r="C171" s="3281"/>
      <c r="D171" s="3281"/>
      <c r="E171" s="3281"/>
      <c r="F171" s="3265">
        <v>0.05</v>
      </c>
      <c r="G171" s="3282"/>
    </row>
    <row r="172" spans="1:7">
      <c r="A172" s="3275" t="s">
        <v>29</v>
      </c>
      <c r="B172" s="3264" t="s">
        <v>3188</v>
      </c>
      <c r="C172" s="3281"/>
      <c r="D172" s="3281"/>
      <c r="E172" s="3281"/>
      <c r="F172" s="3265">
        <v>0.05</v>
      </c>
      <c r="G172" s="3282"/>
    </row>
    <row r="173" spans="1:7">
      <c r="A173" s="3275" t="s">
        <v>29</v>
      </c>
      <c r="B173" s="3264" t="s">
        <v>3189</v>
      </c>
      <c r="C173" s="3281"/>
      <c r="D173" s="3281"/>
      <c r="E173" s="3281"/>
      <c r="F173" s="3265">
        <v>0.05</v>
      </c>
      <c r="G173" s="3277"/>
    </row>
    <row r="174" spans="1:7">
      <c r="A174" s="3275" t="s">
        <v>29</v>
      </c>
      <c r="B174" s="3264" t="s">
        <v>3190</v>
      </c>
      <c r="C174" s="3281"/>
      <c r="D174" s="3281"/>
      <c r="E174" s="3281"/>
      <c r="F174" s="3265">
        <v>0.05</v>
      </c>
      <c r="G174" s="3277"/>
    </row>
    <row r="175" spans="1:7">
      <c r="A175" s="3275" t="s">
        <v>29</v>
      </c>
      <c r="B175" s="3264" t="s">
        <v>3191</v>
      </c>
      <c r="C175" s="3281"/>
      <c r="D175" s="3281"/>
      <c r="E175" s="3281"/>
      <c r="F175" s="3265">
        <v>0.05</v>
      </c>
      <c r="G175" s="3277"/>
    </row>
    <row r="176" spans="1:7">
      <c r="A176" s="3275" t="s">
        <v>29</v>
      </c>
      <c r="B176" s="3264" t="s">
        <v>3192</v>
      </c>
      <c r="C176" s="3281"/>
      <c r="D176" s="3281"/>
      <c r="E176" s="3281"/>
      <c r="F176" s="3265">
        <v>0.05</v>
      </c>
      <c r="G176" s="3277"/>
    </row>
    <row r="177" spans="1:7">
      <c r="A177" s="3275" t="s">
        <v>29</v>
      </c>
      <c r="B177" s="3264" t="s">
        <v>3193</v>
      </c>
      <c r="C177" s="3276"/>
      <c r="D177" s="3276"/>
      <c r="E177" s="3276"/>
      <c r="F177" s="3265">
        <v>0.05</v>
      </c>
      <c r="G177" s="3282"/>
    </row>
    <row r="178" spans="1:7">
      <c r="A178" s="3275" t="s">
        <v>29</v>
      </c>
      <c r="B178" s="3264" t="s">
        <v>3194</v>
      </c>
      <c r="C178" s="3276"/>
      <c r="D178" s="3276"/>
      <c r="E178" s="3276"/>
      <c r="F178" s="3265">
        <v>0.05</v>
      </c>
      <c r="G178" s="3282"/>
    </row>
    <row r="179" spans="1:7">
      <c r="A179" s="3275" t="s">
        <v>29</v>
      </c>
      <c r="B179" s="3264" t="s">
        <v>3195</v>
      </c>
      <c r="C179" s="3276"/>
      <c r="D179" s="3276"/>
      <c r="E179" s="3276"/>
      <c r="F179" s="3265">
        <v>0.05</v>
      </c>
      <c r="G179" s="3282"/>
    </row>
    <row r="180" spans="1:7">
      <c r="A180" s="3275" t="s">
        <v>29</v>
      </c>
      <c r="B180" s="3264" t="s">
        <v>3196</v>
      </c>
      <c r="C180" s="3276"/>
      <c r="D180" s="3276"/>
      <c r="E180" s="3276"/>
      <c r="F180" s="3265">
        <v>0.05</v>
      </c>
      <c r="G180" s="3282"/>
    </row>
    <row r="181" spans="1:7">
      <c r="A181" s="3275" t="s">
        <v>29</v>
      </c>
      <c r="B181" s="3264" t="s">
        <v>3197</v>
      </c>
      <c r="C181" s="3276"/>
      <c r="D181" s="3276"/>
      <c r="E181" s="3276"/>
      <c r="F181" s="3265">
        <v>0.05</v>
      </c>
      <c r="G181" s="3282"/>
    </row>
    <row r="182" spans="1:7">
      <c r="A182" s="3275" t="s">
        <v>29</v>
      </c>
      <c r="B182" s="3264" t="s">
        <v>3198</v>
      </c>
      <c r="C182" s="3276"/>
      <c r="D182" s="3276"/>
      <c r="E182" s="3276"/>
      <c r="F182" s="3265">
        <v>0.05</v>
      </c>
      <c r="G182" s="3282"/>
    </row>
    <row r="183" spans="1:7">
      <c r="A183" s="3275" t="s">
        <v>29</v>
      </c>
      <c r="B183" s="3264" t="s">
        <v>3199</v>
      </c>
      <c r="C183" s="3276"/>
      <c r="D183" s="3276"/>
      <c r="E183" s="3276"/>
      <c r="F183" s="3265">
        <v>0.05</v>
      </c>
      <c r="G183" s="3282"/>
    </row>
    <row r="184" spans="1:7">
      <c r="A184" s="3275" t="s">
        <v>29</v>
      </c>
      <c r="B184" s="3264" t="s">
        <v>3200</v>
      </c>
      <c r="C184" s="3276"/>
      <c r="D184" s="3276"/>
      <c r="E184" s="3276"/>
      <c r="F184" s="3265">
        <v>0.05</v>
      </c>
      <c r="G184" s="3282"/>
    </row>
    <row r="185" spans="1:7">
      <c r="A185" s="3275" t="s">
        <v>29</v>
      </c>
      <c r="B185" s="3264" t="s">
        <v>3201</v>
      </c>
      <c r="C185" s="3276"/>
      <c r="D185" s="3276"/>
      <c r="E185" s="3276"/>
      <c r="F185" s="3265">
        <v>0.05</v>
      </c>
      <c r="G185" s="3282"/>
    </row>
    <row r="186" spans="1:7">
      <c r="A186" s="3275" t="s">
        <v>29</v>
      </c>
      <c r="B186" s="3264" t="s">
        <v>3202</v>
      </c>
      <c r="C186" s="3276"/>
      <c r="D186" s="3276"/>
      <c r="E186" s="3276"/>
      <c r="F186" s="3265">
        <v>0.05</v>
      </c>
      <c r="G186" s="3282"/>
    </row>
    <row r="187" spans="1:7">
      <c r="A187" s="3275" t="s">
        <v>29</v>
      </c>
      <c r="B187" s="3264" t="s">
        <v>3203</v>
      </c>
      <c r="C187" s="3276"/>
      <c r="D187" s="3276"/>
      <c r="E187" s="3276"/>
      <c r="F187" s="3265">
        <v>0.05</v>
      </c>
      <c r="G187" s="3282"/>
    </row>
    <row r="188" spans="1:7">
      <c r="A188" s="3275" t="s">
        <v>29</v>
      </c>
      <c r="B188" s="3264" t="s">
        <v>3204</v>
      </c>
      <c r="C188" s="3276"/>
      <c r="D188" s="3276"/>
      <c r="E188" s="3276"/>
      <c r="F188" s="3265">
        <v>0.05</v>
      </c>
      <c r="G188" s="3282"/>
    </row>
    <row r="189" spans="1:7" ht="14.25" thickBot="1">
      <c r="A189" s="3278" t="s">
        <v>29</v>
      </c>
      <c r="B189" s="3268" t="s">
        <v>3205</v>
      </c>
      <c r="C189" s="3270"/>
      <c r="D189" s="3270"/>
      <c r="E189" s="3270"/>
      <c r="F189" s="3269">
        <v>0.05</v>
      </c>
      <c r="G189" s="3283"/>
    </row>
    <row r="190" spans="1:7">
      <c r="A190" s="3274" t="s">
        <v>304</v>
      </c>
      <c r="B190" s="3260" t="s">
        <v>2861</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2897</v>
      </c>
      <c r="C199" s="3265">
        <v>0.13</v>
      </c>
      <c r="D199" s="3265">
        <v>0.13</v>
      </c>
      <c r="E199" s="3265">
        <v>0.13</v>
      </c>
      <c r="F199" s="3265">
        <v>0.13</v>
      </c>
      <c r="G199" s="3266">
        <v>0.13</v>
      </c>
    </row>
    <row r="200" spans="1:7">
      <c r="A200" s="3275" t="s">
        <v>304</v>
      </c>
      <c r="B200" s="3264" t="s">
        <v>2900</v>
      </c>
      <c r="C200" s="3281"/>
      <c r="D200" s="3281"/>
      <c r="E200" s="3281"/>
      <c r="F200" s="3265">
        <v>0.13</v>
      </c>
      <c r="G200" s="3277"/>
    </row>
    <row r="201" spans="1:7">
      <c r="A201" s="3275" t="s">
        <v>304</v>
      </c>
      <c r="B201" s="3264" t="s">
        <v>2905</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2908</v>
      </c>
      <c r="C203" s="3265">
        <v>0.129</v>
      </c>
      <c r="D203" s="3265">
        <v>0.129</v>
      </c>
      <c r="E203" s="3265">
        <v>0.13</v>
      </c>
      <c r="F203" s="3265">
        <v>0.13</v>
      </c>
      <c r="G203" s="3266">
        <v>0.13</v>
      </c>
    </row>
    <row r="204" spans="1:7">
      <c r="A204" s="3275" t="s">
        <v>304</v>
      </c>
      <c r="B204" s="3264" t="s">
        <v>2911</v>
      </c>
      <c r="C204" s="3265">
        <v>0.129</v>
      </c>
      <c r="D204" s="3265">
        <v>0.129</v>
      </c>
      <c r="E204" s="3265">
        <v>0.123</v>
      </c>
      <c r="F204" s="3265">
        <v>0.13</v>
      </c>
      <c r="G204" s="3266">
        <v>0.13</v>
      </c>
    </row>
    <row r="205" spans="1:7">
      <c r="A205" s="3275" t="s">
        <v>304</v>
      </c>
      <c r="B205" s="3264" t="s">
        <v>2913</v>
      </c>
      <c r="C205" s="3265">
        <v>0.13</v>
      </c>
      <c r="D205" s="3265">
        <v>0.13</v>
      </c>
      <c r="E205" s="3265">
        <v>0.13</v>
      </c>
      <c r="F205" s="3265">
        <v>0.13</v>
      </c>
      <c r="G205" s="3266">
        <v>0.13</v>
      </c>
    </row>
    <row r="206" spans="1:7">
      <c r="A206" s="3275" t="s">
        <v>304</v>
      </c>
      <c r="B206" s="3264" t="s">
        <v>2916</v>
      </c>
      <c r="C206" s="3265">
        <v>0.13</v>
      </c>
      <c r="D206" s="3265">
        <v>0.13</v>
      </c>
      <c r="E206" s="3265">
        <v>0.13</v>
      </c>
      <c r="F206" s="3265">
        <v>0.128</v>
      </c>
      <c r="G206" s="3266">
        <v>0.13</v>
      </c>
    </row>
    <row r="207" spans="1:7">
      <c r="A207" s="3275" t="s">
        <v>304</v>
      </c>
      <c r="B207" s="3264" t="s">
        <v>2918</v>
      </c>
      <c r="C207" s="3265">
        <v>0.13</v>
      </c>
      <c r="D207" s="3265">
        <v>0.13</v>
      </c>
      <c r="E207" s="3265">
        <v>0.13</v>
      </c>
      <c r="F207" s="3265">
        <v>0.13</v>
      </c>
      <c r="G207" s="3266">
        <v>0.13</v>
      </c>
    </row>
    <row r="208" spans="1:7">
      <c r="A208" s="3275" t="s">
        <v>304</v>
      </c>
      <c r="B208" s="3264" t="s">
        <v>2921</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2928</v>
      </c>
      <c r="C210" s="3265">
        <v>0.121</v>
      </c>
      <c r="D210" s="3265">
        <v>0.121</v>
      </c>
      <c r="E210" s="3265">
        <v>0.125</v>
      </c>
      <c r="F210" s="3265">
        <v>0.13</v>
      </c>
      <c r="G210" s="3266">
        <v>0.123</v>
      </c>
    </row>
    <row r="211" spans="1:7">
      <c r="A211" s="3275" t="s">
        <v>304</v>
      </c>
      <c r="B211" s="3264" t="s">
        <v>2931</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2943</v>
      </c>
      <c r="C214" s="3265">
        <v>0.128</v>
      </c>
      <c r="D214" s="3265">
        <v>0.128</v>
      </c>
      <c r="E214" s="3265">
        <v>0.13</v>
      </c>
      <c r="F214" s="3265">
        <v>0.13</v>
      </c>
      <c r="G214" s="3266">
        <v>0.13</v>
      </c>
    </row>
    <row r="215" spans="1:7">
      <c r="A215" s="3275" t="s">
        <v>304</v>
      </c>
      <c r="B215" s="3264" t="s">
        <v>2947</v>
      </c>
      <c r="C215" s="3265">
        <v>0.13</v>
      </c>
      <c r="D215" s="3265">
        <v>0.13</v>
      </c>
      <c r="E215" s="3265">
        <v>0.13</v>
      </c>
      <c r="F215" s="3265">
        <v>0.129</v>
      </c>
      <c r="G215" s="3266">
        <v>0.13</v>
      </c>
    </row>
    <row r="216" spans="1:7">
      <c r="A216" s="3275" t="s">
        <v>304</v>
      </c>
      <c r="B216" s="3264" t="s">
        <v>2954</v>
      </c>
      <c r="C216" s="3265">
        <v>0.13</v>
      </c>
      <c r="D216" s="3265">
        <v>0.13</v>
      </c>
      <c r="E216" s="3265">
        <v>0.13</v>
      </c>
      <c r="F216" s="3265">
        <v>0.13</v>
      </c>
      <c r="G216" s="3266">
        <v>0.13</v>
      </c>
    </row>
    <row r="217" spans="1:7">
      <c r="A217" s="3275" t="s">
        <v>304</v>
      </c>
      <c r="B217" s="3264" t="s">
        <v>2961</v>
      </c>
      <c r="C217" s="3265">
        <v>0.129</v>
      </c>
      <c r="D217" s="3265">
        <v>0.129</v>
      </c>
      <c r="E217" s="3265">
        <v>0.13</v>
      </c>
      <c r="F217" s="3265">
        <v>0.13</v>
      </c>
      <c r="G217" s="3266">
        <v>0.13</v>
      </c>
    </row>
    <row r="218" spans="1:7">
      <c r="A218" s="3275" t="s">
        <v>304</v>
      </c>
      <c r="B218" s="3264" t="s">
        <v>2967</v>
      </c>
      <c r="C218" s="3276"/>
      <c r="D218" s="3276"/>
      <c r="E218" s="3276"/>
      <c r="F218" s="3265">
        <v>0.05</v>
      </c>
      <c r="G218" s="3282"/>
    </row>
    <row r="219" spans="1:7">
      <c r="A219" s="3275" t="s">
        <v>304</v>
      </c>
      <c r="B219" s="3264" t="s">
        <v>2974</v>
      </c>
      <c r="C219" s="3276"/>
      <c r="D219" s="3276"/>
      <c r="E219" s="3276"/>
      <c r="F219" s="3265">
        <v>0.05</v>
      </c>
      <c r="G219" s="3282"/>
    </row>
    <row r="220" spans="1:7">
      <c r="A220" s="3275" t="s">
        <v>304</v>
      </c>
      <c r="B220" s="3264" t="s">
        <v>2980</v>
      </c>
      <c r="C220" s="3276"/>
      <c r="D220" s="3276"/>
      <c r="E220" s="3276"/>
      <c r="F220" s="3265">
        <v>0.05</v>
      </c>
      <c r="G220" s="3282"/>
    </row>
    <row r="221" spans="1:7">
      <c r="A221" s="3275" t="s">
        <v>304</v>
      </c>
      <c r="B221" s="3264" t="s">
        <v>2985</v>
      </c>
      <c r="C221" s="3276"/>
      <c r="D221" s="3276"/>
      <c r="E221" s="3276"/>
      <c r="F221" s="3265">
        <v>0.05</v>
      </c>
      <c r="G221" s="3282"/>
    </row>
    <row r="222" spans="1:7">
      <c r="A222" s="3275" t="s">
        <v>304</v>
      </c>
      <c r="B222" s="3264" t="s">
        <v>2989</v>
      </c>
      <c r="C222" s="3276"/>
      <c r="D222" s="3276"/>
      <c r="E222" s="3276"/>
      <c r="F222" s="3265">
        <v>0.05</v>
      </c>
      <c r="G222" s="3282"/>
    </row>
    <row r="223" spans="1:7">
      <c r="A223" s="3275" t="s">
        <v>304</v>
      </c>
      <c r="B223" s="3264" t="s">
        <v>2994</v>
      </c>
      <c r="C223" s="3276"/>
      <c r="D223" s="3276"/>
      <c r="E223" s="3276"/>
      <c r="F223" s="3265">
        <v>0.05</v>
      </c>
      <c r="G223" s="3282"/>
    </row>
    <row r="224" spans="1:7">
      <c r="A224" s="3275" t="s">
        <v>304</v>
      </c>
      <c r="B224" s="3264" t="s">
        <v>2999</v>
      </c>
      <c r="C224" s="3276"/>
      <c r="D224" s="3276"/>
      <c r="E224" s="3276"/>
      <c r="F224" s="3265">
        <v>0.05</v>
      </c>
      <c r="G224" s="3282"/>
    </row>
    <row r="225" spans="1:7">
      <c r="A225" s="3275" t="s">
        <v>304</v>
      </c>
      <c r="B225" s="3264" t="s">
        <v>3004</v>
      </c>
      <c r="C225" s="3276"/>
      <c r="D225" s="3276"/>
      <c r="E225" s="3276"/>
      <c r="F225" s="3265">
        <v>0.05</v>
      </c>
      <c r="G225" s="3282"/>
    </row>
    <row r="226" spans="1:7">
      <c r="A226" s="3275" t="s">
        <v>304</v>
      </c>
      <c r="B226" s="3264" t="s">
        <v>3206</v>
      </c>
      <c r="C226" s="3276"/>
      <c r="D226" s="3276"/>
      <c r="E226" s="3276"/>
      <c r="F226" s="3265">
        <v>0.05</v>
      </c>
      <c r="G226" s="3282"/>
    </row>
    <row r="227" spans="1:7">
      <c r="A227" s="3275" t="s">
        <v>304</v>
      </c>
      <c r="B227" s="3264" t="s">
        <v>3207</v>
      </c>
      <c r="C227" s="3276"/>
      <c r="D227" s="3276"/>
      <c r="E227" s="3276"/>
      <c r="F227" s="3265">
        <v>0.05</v>
      </c>
      <c r="G227" s="3282"/>
    </row>
    <row r="228" spans="1:7">
      <c r="A228" s="3275" t="s">
        <v>304</v>
      </c>
      <c r="B228" s="3264" t="s">
        <v>3208</v>
      </c>
      <c r="C228" s="3276"/>
      <c r="D228" s="3276"/>
      <c r="E228" s="3276"/>
      <c r="F228" s="3265">
        <v>0.05</v>
      </c>
      <c r="G228" s="3282"/>
    </row>
    <row r="229" spans="1:7">
      <c r="A229" s="3275" t="s">
        <v>304</v>
      </c>
      <c r="B229" s="3264" t="s">
        <v>3209</v>
      </c>
      <c r="C229" s="3276"/>
      <c r="D229" s="3276"/>
      <c r="E229" s="3276"/>
      <c r="F229" s="3265">
        <v>0.05</v>
      </c>
      <c r="G229" s="3282"/>
    </row>
    <row r="230" spans="1:7">
      <c r="A230" s="3275" t="s">
        <v>304</v>
      </c>
      <c r="B230" s="3264" t="s">
        <v>3210</v>
      </c>
      <c r="C230" s="3276"/>
      <c r="D230" s="3276"/>
      <c r="E230" s="3276"/>
      <c r="F230" s="3265">
        <v>0.05</v>
      </c>
      <c r="G230" s="3282"/>
    </row>
    <row r="231" spans="1:7">
      <c r="A231" s="3275" t="s">
        <v>304</v>
      </c>
      <c r="B231" s="3264" t="s">
        <v>3211</v>
      </c>
      <c r="C231" s="3276"/>
      <c r="D231" s="3276"/>
      <c r="E231" s="3276"/>
      <c r="F231" s="3265">
        <v>0.05</v>
      </c>
      <c r="G231" s="3282"/>
    </row>
    <row r="232" spans="1:7">
      <c r="A232" s="3275" t="s">
        <v>304</v>
      </c>
      <c r="B232" s="3264" t="s">
        <v>3212</v>
      </c>
      <c r="C232" s="3276"/>
      <c r="D232" s="3276"/>
      <c r="E232" s="3276"/>
      <c r="F232" s="3265">
        <v>0.05</v>
      </c>
      <c r="G232" s="3282"/>
    </row>
    <row r="233" spans="1:7" ht="14.25" thickBot="1">
      <c r="A233" s="3278" t="s">
        <v>304</v>
      </c>
      <c r="B233" s="3268" t="s">
        <v>3213</v>
      </c>
      <c r="C233" s="3270"/>
      <c r="D233" s="3270"/>
      <c r="E233" s="3270"/>
      <c r="F233" s="3269">
        <v>0.05</v>
      </c>
      <c r="G233" s="3283"/>
    </row>
    <row r="234" spans="1:7">
      <c r="A234" s="3274" t="s">
        <v>305</v>
      </c>
      <c r="B234" s="3260" t="s">
        <v>2862</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2882</v>
      </c>
      <c r="C238" s="3265">
        <v>0.14899999999999999</v>
      </c>
      <c r="D238" s="3265">
        <v>0.14899999999999999</v>
      </c>
      <c r="E238" s="3265">
        <v>0.15</v>
      </c>
      <c r="F238" s="3265">
        <v>0.15</v>
      </c>
      <c r="G238" s="3266">
        <v>0.15</v>
      </c>
    </row>
    <row r="239" spans="1:7">
      <c r="A239" s="3275" t="s">
        <v>305</v>
      </c>
      <c r="B239" s="3264" t="s">
        <v>2886</v>
      </c>
      <c r="C239" s="3265">
        <v>0.15</v>
      </c>
      <c r="D239" s="3265">
        <v>0.15</v>
      </c>
      <c r="E239" s="3265">
        <v>0.15</v>
      </c>
      <c r="F239" s="3265">
        <v>0.15</v>
      </c>
      <c r="G239" s="3266">
        <v>0.15</v>
      </c>
    </row>
    <row r="240" spans="1:7">
      <c r="A240" s="3275" t="s">
        <v>305</v>
      </c>
      <c r="B240" s="3264" t="s">
        <v>2891</v>
      </c>
      <c r="C240" s="3265">
        <v>0.15</v>
      </c>
      <c r="D240" s="3265">
        <v>0.15</v>
      </c>
      <c r="E240" s="3265">
        <v>0.15</v>
      </c>
      <c r="F240" s="3265">
        <v>0.15</v>
      </c>
      <c r="G240" s="3266">
        <v>0.15</v>
      </c>
    </row>
    <row r="241" spans="1:7">
      <c r="A241" s="3275" t="s">
        <v>305</v>
      </c>
      <c r="B241" s="3264" t="s">
        <v>2895</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2901</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2909</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2914</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2922</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2935</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2944</v>
      </c>
      <c r="C258" s="3265">
        <v>0.14299999999999999</v>
      </c>
      <c r="D258" s="3265">
        <v>0.14299999999999999</v>
      </c>
      <c r="E258" s="3265">
        <v>0.15</v>
      </c>
      <c r="F258" s="3265">
        <v>0.14799999999999999</v>
      </c>
      <c r="G258" s="3266">
        <v>0.14599999999999999</v>
      </c>
    </row>
    <row r="259" spans="1:7">
      <c r="A259" s="3275" t="s">
        <v>305</v>
      </c>
      <c r="B259" s="3264" t="s">
        <v>2948</v>
      </c>
      <c r="C259" s="3265">
        <v>0.14399999999999999</v>
      </c>
      <c r="D259" s="3265">
        <v>0.14399999999999999</v>
      </c>
      <c r="E259" s="3265">
        <v>0.14899999999999999</v>
      </c>
      <c r="F259" s="3265">
        <v>0.14699999999999999</v>
      </c>
      <c r="G259" s="3266">
        <v>0.14599999999999999</v>
      </c>
    </row>
    <row r="260" spans="1:7">
      <c r="A260" s="3275" t="s">
        <v>305</v>
      </c>
      <c r="B260" s="3264" t="s">
        <v>2955</v>
      </c>
      <c r="C260" s="3265">
        <v>0.109</v>
      </c>
      <c r="D260" s="3265">
        <v>0.111</v>
      </c>
      <c r="E260" s="3265">
        <v>0.13100000000000001</v>
      </c>
      <c r="F260" s="3265">
        <v>0.126</v>
      </c>
      <c r="G260" s="3266">
        <v>0.11899999999999999</v>
      </c>
    </row>
    <row r="261" spans="1:7">
      <c r="A261" s="3275" t="s">
        <v>305</v>
      </c>
      <c r="B261" s="3264" t="s">
        <v>2962</v>
      </c>
      <c r="C261" s="3265">
        <v>0.1</v>
      </c>
      <c r="D261" s="3265">
        <v>0.1</v>
      </c>
      <c r="E261" s="3265">
        <v>0.11799999999999999</v>
      </c>
      <c r="F261" s="3265">
        <v>0.108</v>
      </c>
      <c r="G261" s="3266">
        <v>0.107</v>
      </c>
    </row>
    <row r="262" spans="1:7">
      <c r="A262" s="3275" t="s">
        <v>305</v>
      </c>
      <c r="B262" s="3264" t="s">
        <v>2968</v>
      </c>
      <c r="C262" s="3265">
        <v>0.1</v>
      </c>
      <c r="D262" s="3265">
        <v>0.1</v>
      </c>
      <c r="E262" s="3265">
        <v>0.1</v>
      </c>
      <c r="F262" s="3265">
        <v>0.14099999999999999</v>
      </c>
      <c r="G262" s="3266">
        <v>0.1</v>
      </c>
    </row>
    <row r="263" spans="1:7">
      <c r="A263" s="3275" t="s">
        <v>305</v>
      </c>
      <c r="B263" s="3264" t="s">
        <v>2975</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2986</v>
      </c>
      <c r="C265" s="3276"/>
      <c r="D265" s="3276"/>
      <c r="E265" s="3276"/>
      <c r="F265" s="3265">
        <v>0.05</v>
      </c>
      <c r="G265" s="3282"/>
    </row>
    <row r="266" spans="1:7">
      <c r="A266" s="3275" t="s">
        <v>305</v>
      </c>
      <c r="B266" s="3264" t="s">
        <v>2990</v>
      </c>
      <c r="C266" s="3276"/>
      <c r="D266" s="3276"/>
      <c r="E266" s="3276"/>
      <c r="F266" s="3265">
        <v>0.05</v>
      </c>
      <c r="G266" s="3282"/>
    </row>
    <row r="267" spans="1:7">
      <c r="A267" s="3275" t="s">
        <v>305</v>
      </c>
      <c r="B267" s="3264" t="s">
        <v>2995</v>
      </c>
      <c r="C267" s="3276"/>
      <c r="D267" s="3276"/>
      <c r="E267" s="3276"/>
      <c r="F267" s="3265">
        <v>0.05</v>
      </c>
      <c r="G267" s="3282"/>
    </row>
    <row r="268" spans="1:7">
      <c r="A268" s="3275" t="s">
        <v>305</v>
      </c>
      <c r="B268" s="3264" t="s">
        <v>3000</v>
      </c>
      <c r="C268" s="3276"/>
      <c r="D268" s="3276"/>
      <c r="E268" s="3276"/>
      <c r="F268" s="3265">
        <v>0.05</v>
      </c>
      <c r="G268" s="3282"/>
    </row>
    <row r="269" spans="1:7">
      <c r="A269" s="3275" t="s">
        <v>305</v>
      </c>
      <c r="B269" s="3264" t="s">
        <v>3005</v>
      </c>
      <c r="C269" s="3276"/>
      <c r="D269" s="3276"/>
      <c r="E269" s="3276"/>
      <c r="F269" s="3265">
        <v>0.05</v>
      </c>
      <c r="G269" s="3282"/>
    </row>
    <row r="270" spans="1:7">
      <c r="A270" s="3275" t="s">
        <v>305</v>
      </c>
      <c r="B270" s="3264" t="s">
        <v>3010</v>
      </c>
      <c r="C270" s="3276"/>
      <c r="D270" s="3276"/>
      <c r="E270" s="3276"/>
      <c r="F270" s="3265">
        <v>0.05</v>
      </c>
      <c r="G270" s="3282"/>
    </row>
    <row r="271" spans="1:7">
      <c r="A271" s="3275" t="s">
        <v>305</v>
      </c>
      <c r="B271" s="3264" t="s">
        <v>3214</v>
      </c>
      <c r="C271" s="3276"/>
      <c r="D271" s="3276"/>
      <c r="E271" s="3276"/>
      <c r="F271" s="3265">
        <v>0.05</v>
      </c>
      <c r="G271" s="3282"/>
    </row>
    <row r="272" spans="1:7">
      <c r="A272" s="3275" t="s">
        <v>305</v>
      </c>
      <c r="B272" s="3264" t="s">
        <v>3215</v>
      </c>
      <c r="C272" s="3276"/>
      <c r="D272" s="3276"/>
      <c r="E272" s="3276"/>
      <c r="F272" s="3265">
        <v>0.05</v>
      </c>
      <c r="G272" s="3282"/>
    </row>
    <row r="273" spans="1:7">
      <c r="A273" s="3275" t="s">
        <v>305</v>
      </c>
      <c r="B273" s="3264" t="s">
        <v>3216</v>
      </c>
      <c r="C273" s="3276"/>
      <c r="D273" s="3276"/>
      <c r="E273" s="3276"/>
      <c r="F273" s="3265">
        <v>0.05</v>
      </c>
      <c r="G273" s="3282"/>
    </row>
    <row r="274" spans="1:7">
      <c r="A274" s="3275" t="s">
        <v>305</v>
      </c>
      <c r="B274" s="3264" t="s">
        <v>3217</v>
      </c>
      <c r="C274" s="3276"/>
      <c r="D274" s="3276"/>
      <c r="E274" s="3276"/>
      <c r="F274" s="3265">
        <v>0.05</v>
      </c>
      <c r="G274" s="3282"/>
    </row>
    <row r="275" spans="1:7">
      <c r="A275" s="3275" t="s">
        <v>305</v>
      </c>
      <c r="B275" s="3264" t="s">
        <v>3218</v>
      </c>
      <c r="C275" s="3276"/>
      <c r="D275" s="3276"/>
      <c r="E275" s="3276"/>
      <c r="F275" s="3265">
        <v>0.05</v>
      </c>
      <c r="G275" s="3282"/>
    </row>
    <row r="276" spans="1:7" ht="14.25" thickBot="1">
      <c r="A276" s="3278" t="s">
        <v>305</v>
      </c>
      <c r="B276" s="3268" t="s">
        <v>3219</v>
      </c>
      <c r="C276" s="3270"/>
      <c r="D276" s="3270"/>
      <c r="E276" s="3270"/>
      <c r="F276" s="3269">
        <v>0.05</v>
      </c>
      <c r="G276" s="3283"/>
    </row>
    <row r="277" spans="1:7">
      <c r="A277" s="3274" t="s">
        <v>306</v>
      </c>
      <c r="B277" s="3260" t="s">
        <v>2863</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2875</v>
      </c>
      <c r="C279" s="3265">
        <v>0.15</v>
      </c>
      <c r="D279" s="3265">
        <v>0.15</v>
      </c>
      <c r="E279" s="3265">
        <v>0.15</v>
      </c>
      <c r="F279" s="3265">
        <v>0.15</v>
      </c>
      <c r="G279" s="3266">
        <v>0.15</v>
      </c>
    </row>
    <row r="280" spans="1:7">
      <c r="A280" s="3275" t="s">
        <v>306</v>
      </c>
      <c r="B280" s="3264" t="s">
        <v>2879</v>
      </c>
      <c r="C280" s="3265">
        <v>0.15</v>
      </c>
      <c r="D280" s="3265">
        <v>0.15</v>
      </c>
      <c r="E280" s="3265">
        <v>0.15</v>
      </c>
      <c r="F280" s="3265">
        <v>0.15</v>
      </c>
      <c r="G280" s="3266">
        <v>0.15</v>
      </c>
    </row>
    <row r="281" spans="1:7">
      <c r="A281" s="3275" t="s">
        <v>306</v>
      </c>
      <c r="B281" s="3264" t="s">
        <v>2883</v>
      </c>
      <c r="C281" s="3265">
        <v>0.15</v>
      </c>
      <c r="D281" s="3265">
        <v>0.15</v>
      </c>
      <c r="E281" s="3265">
        <v>0.15</v>
      </c>
      <c r="F281" s="3265">
        <v>0.15</v>
      </c>
      <c r="G281" s="3266">
        <v>0.15</v>
      </c>
    </row>
    <row r="282" spans="1:7">
      <c r="A282" s="3275" t="s">
        <v>306</v>
      </c>
      <c r="B282" s="3264" t="s">
        <v>2887</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2902</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2907</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2917</v>
      </c>
      <c r="C293" s="3265">
        <v>0.15</v>
      </c>
      <c r="D293" s="3265">
        <v>0.15</v>
      </c>
      <c r="E293" s="3265">
        <v>0.15</v>
      </c>
      <c r="F293" s="3265">
        <v>0.14499999999999999</v>
      </c>
      <c r="G293" s="3266">
        <v>0.15</v>
      </c>
    </row>
    <row r="294" spans="1:7">
      <c r="A294" s="3275" t="s">
        <v>306</v>
      </c>
      <c r="B294" s="3264" t="s">
        <v>2919</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2936</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2949</v>
      </c>
      <c r="C302" s="3265">
        <v>0.15</v>
      </c>
      <c r="D302" s="3265">
        <v>0.15</v>
      </c>
      <c r="E302" s="3265">
        <v>0.15</v>
      </c>
      <c r="F302" s="3265">
        <v>0.14699999999999999</v>
      </c>
      <c r="G302" s="3266">
        <v>0.15</v>
      </c>
    </row>
    <row r="303" spans="1:7">
      <c r="A303" s="3275" t="s">
        <v>306</v>
      </c>
      <c r="B303" s="3264" t="s">
        <v>2956</v>
      </c>
      <c r="C303" s="3265">
        <v>0.15</v>
      </c>
      <c r="D303" s="3265">
        <v>0.15</v>
      </c>
      <c r="E303" s="3265">
        <v>0.15</v>
      </c>
      <c r="F303" s="3265">
        <v>0.14199999999999999</v>
      </c>
      <c r="G303" s="3266">
        <v>0.15</v>
      </c>
    </row>
    <row r="304" spans="1:7">
      <c r="A304" s="3275" t="s">
        <v>306</v>
      </c>
      <c r="B304" s="3264" t="s">
        <v>2963</v>
      </c>
      <c r="C304" s="3265">
        <v>0.15</v>
      </c>
      <c r="D304" s="3265">
        <v>0.15</v>
      </c>
      <c r="E304" s="3265">
        <v>0.15</v>
      </c>
      <c r="F304" s="3265">
        <v>0.14499999999999999</v>
      </c>
      <c r="G304" s="3266">
        <v>0.15</v>
      </c>
    </row>
    <row r="305" spans="1:7">
      <c r="A305" s="3275" t="s">
        <v>306</v>
      </c>
      <c r="B305" s="3264" t="s">
        <v>2969</v>
      </c>
      <c r="C305" s="3265">
        <v>0.15</v>
      </c>
      <c r="D305" s="3265">
        <v>0.15</v>
      </c>
      <c r="E305" s="3265">
        <v>0.15</v>
      </c>
      <c r="F305" s="3265">
        <v>0.111</v>
      </c>
      <c r="G305" s="3266">
        <v>0.15</v>
      </c>
    </row>
    <row r="306" spans="1:7">
      <c r="A306" s="3275" t="s">
        <v>306</v>
      </c>
      <c r="B306" s="3264" t="s">
        <v>2976</v>
      </c>
      <c r="C306" s="3265">
        <v>0.15</v>
      </c>
      <c r="D306" s="3265">
        <v>0.15</v>
      </c>
      <c r="E306" s="3265">
        <v>0.15</v>
      </c>
      <c r="F306" s="3265">
        <v>0.126</v>
      </c>
      <c r="G306" s="3266">
        <v>0.15</v>
      </c>
    </row>
    <row r="307" spans="1:7">
      <c r="A307" s="3275" t="s">
        <v>306</v>
      </c>
      <c r="B307" s="3264" t="s">
        <v>2981</v>
      </c>
      <c r="C307" s="3265">
        <v>0.15</v>
      </c>
      <c r="D307" s="3265">
        <v>0.15</v>
      </c>
      <c r="E307" s="3265">
        <v>0.15</v>
      </c>
      <c r="F307" s="3265">
        <v>0.12</v>
      </c>
      <c r="G307" s="3266">
        <v>0.15</v>
      </c>
    </row>
    <row r="308" spans="1:7">
      <c r="A308" s="3275" t="s">
        <v>306</v>
      </c>
      <c r="B308" s="3264" t="s">
        <v>2987</v>
      </c>
      <c r="C308" s="3265">
        <v>0.15</v>
      </c>
      <c r="D308" s="3265">
        <v>0.15</v>
      </c>
      <c r="E308" s="3265">
        <v>0.15</v>
      </c>
      <c r="F308" s="3265">
        <v>0.13</v>
      </c>
      <c r="G308" s="3266">
        <v>0.15</v>
      </c>
    </row>
    <row r="309" spans="1:7">
      <c r="A309" s="3275" t="s">
        <v>306</v>
      </c>
      <c r="B309" s="3264" t="s">
        <v>2991</v>
      </c>
      <c r="C309" s="3265">
        <v>0.15</v>
      </c>
      <c r="D309" s="3265">
        <v>0.15</v>
      </c>
      <c r="E309" s="3265">
        <v>0.15</v>
      </c>
      <c r="F309" s="3265">
        <v>0.14099999999999999</v>
      </c>
      <c r="G309" s="3266">
        <v>0.15</v>
      </c>
    </row>
    <row r="310" spans="1:7">
      <c r="A310" s="3275" t="s">
        <v>306</v>
      </c>
      <c r="B310" s="3264" t="s">
        <v>2996</v>
      </c>
      <c r="C310" s="3265">
        <v>0.15</v>
      </c>
      <c r="D310" s="3265">
        <v>0.15</v>
      </c>
      <c r="E310" s="3265">
        <v>0.15</v>
      </c>
      <c r="F310" s="3265">
        <v>0.15</v>
      </c>
      <c r="G310" s="3266">
        <v>0.15</v>
      </c>
    </row>
    <row r="311" spans="1:7">
      <c r="A311" s="3275" t="s">
        <v>306</v>
      </c>
      <c r="B311" s="3264" t="s">
        <v>3001</v>
      </c>
      <c r="C311" s="3265">
        <v>0.13200000000000001</v>
      </c>
      <c r="D311" s="3265">
        <v>0.13300000000000001</v>
      </c>
      <c r="E311" s="3265">
        <v>0.14499999999999999</v>
      </c>
      <c r="F311" s="3265">
        <v>0.14199999999999999</v>
      </c>
      <c r="G311" s="3266">
        <v>0.14000000000000001</v>
      </c>
    </row>
    <row r="312" spans="1:7">
      <c r="A312" s="3275" t="s">
        <v>306</v>
      </c>
      <c r="B312" s="3264" t="s">
        <v>3006</v>
      </c>
      <c r="C312" s="3265">
        <v>0.13800000000000001</v>
      </c>
      <c r="D312" s="3265">
        <v>0.14000000000000001</v>
      </c>
      <c r="E312" s="3265">
        <v>0.14599999999999999</v>
      </c>
      <c r="F312" s="3265">
        <v>0.14899999999999999</v>
      </c>
      <c r="G312" s="3266">
        <v>0.14199999999999999</v>
      </c>
    </row>
    <row r="313" spans="1:7">
      <c r="A313" s="3275" t="s">
        <v>306</v>
      </c>
      <c r="B313" s="3264" t="s">
        <v>3011</v>
      </c>
      <c r="C313" s="3265">
        <v>0.125</v>
      </c>
      <c r="D313" s="3265">
        <v>0.127</v>
      </c>
      <c r="E313" s="3265">
        <v>0.14399999999999999</v>
      </c>
      <c r="F313" s="3265">
        <v>0.115</v>
      </c>
      <c r="G313" s="3266">
        <v>0.13600000000000001</v>
      </c>
    </row>
    <row r="314" spans="1:7">
      <c r="A314" s="3275" t="s">
        <v>306</v>
      </c>
      <c r="B314" s="3264" t="s">
        <v>3220</v>
      </c>
      <c r="C314" s="3281"/>
      <c r="D314" s="3281"/>
      <c r="E314" s="3281"/>
      <c r="F314" s="3265">
        <v>0.05</v>
      </c>
      <c r="G314" s="3282"/>
    </row>
    <row r="315" spans="1:7">
      <c r="A315" s="3275" t="s">
        <v>306</v>
      </c>
      <c r="B315" s="3264" t="s">
        <v>3221</v>
      </c>
      <c r="C315" s="3281"/>
      <c r="D315" s="3281"/>
      <c r="E315" s="3281"/>
      <c r="F315" s="3265">
        <v>0.05</v>
      </c>
      <c r="G315" s="3282"/>
    </row>
    <row r="316" spans="1:7">
      <c r="A316" s="3275" t="s">
        <v>306</v>
      </c>
      <c r="B316" s="3264" t="s">
        <v>3222</v>
      </c>
      <c r="C316" s="3276"/>
      <c r="D316" s="3276"/>
      <c r="E316" s="3276"/>
      <c r="F316" s="3265">
        <v>0.05</v>
      </c>
      <c r="G316" s="3282"/>
    </row>
    <row r="317" spans="1:7">
      <c r="A317" s="3275" t="s">
        <v>306</v>
      </c>
      <c r="B317" s="3264" t="s">
        <v>3223</v>
      </c>
      <c r="C317" s="3276"/>
      <c r="D317" s="3276"/>
      <c r="E317" s="3276"/>
      <c r="F317" s="3265">
        <v>0.05</v>
      </c>
      <c r="G317" s="3282"/>
    </row>
    <row r="318" spans="1:7">
      <c r="A318" s="3275" t="s">
        <v>306</v>
      </c>
      <c r="B318" s="3264" t="s">
        <v>3224</v>
      </c>
      <c r="C318" s="3276"/>
      <c r="D318" s="3276"/>
      <c r="E318" s="3276"/>
      <c r="F318" s="3265">
        <v>0.05</v>
      </c>
      <c r="G318" s="3282"/>
    </row>
    <row r="319" spans="1:7">
      <c r="A319" s="3275" t="s">
        <v>306</v>
      </c>
      <c r="B319" s="3264" t="s">
        <v>3225</v>
      </c>
      <c r="C319" s="3276"/>
      <c r="D319" s="3276"/>
      <c r="E319" s="3276"/>
      <c r="F319" s="3265">
        <v>0.05</v>
      </c>
      <c r="G319" s="3282"/>
    </row>
    <row r="320" spans="1:7">
      <c r="A320" s="3275" t="s">
        <v>306</v>
      </c>
      <c r="B320" s="3264" t="s">
        <v>3226</v>
      </c>
      <c r="C320" s="3276"/>
      <c r="D320" s="3276"/>
      <c r="E320" s="3276"/>
      <c r="F320" s="3265">
        <v>0.05</v>
      </c>
      <c r="G320" s="3282"/>
    </row>
    <row r="321" spans="1:7">
      <c r="A321" s="3275" t="s">
        <v>306</v>
      </c>
      <c r="B321" s="3264" t="s">
        <v>3227</v>
      </c>
      <c r="C321" s="3276"/>
      <c r="D321" s="3276"/>
      <c r="E321" s="3276"/>
      <c r="F321" s="3265">
        <v>0.05</v>
      </c>
      <c r="G321" s="3282"/>
    </row>
    <row r="322" spans="1:7">
      <c r="A322" s="3275" t="s">
        <v>306</v>
      </c>
      <c r="B322" s="3264" t="s">
        <v>3228</v>
      </c>
      <c r="C322" s="3276"/>
      <c r="D322" s="3276"/>
      <c r="E322" s="3276"/>
      <c r="F322" s="3265">
        <v>0.05</v>
      </c>
      <c r="G322" s="3282"/>
    </row>
    <row r="323" spans="1:7">
      <c r="A323" s="3275" t="s">
        <v>306</v>
      </c>
      <c r="B323" s="3264" t="s">
        <v>3229</v>
      </c>
      <c r="C323" s="3276"/>
      <c r="D323" s="3276"/>
      <c r="E323" s="3276"/>
      <c r="F323" s="3265">
        <v>0.05</v>
      </c>
      <c r="G323" s="3282"/>
    </row>
    <row r="324" spans="1:7">
      <c r="A324" s="3275" t="s">
        <v>306</v>
      </c>
      <c r="B324" s="3264" t="s">
        <v>3230</v>
      </c>
      <c r="C324" s="3276"/>
      <c r="D324" s="3276"/>
      <c r="E324" s="3276"/>
      <c r="F324" s="3265">
        <v>0.05</v>
      </c>
      <c r="G324" s="3282"/>
    </row>
    <row r="325" spans="1:7">
      <c r="A325" s="3275" t="s">
        <v>306</v>
      </c>
      <c r="B325" s="3264" t="s">
        <v>3231</v>
      </c>
      <c r="C325" s="3276"/>
      <c r="D325" s="3276"/>
      <c r="E325" s="3276"/>
      <c r="F325" s="3265">
        <v>0.05</v>
      </c>
      <c r="G325" s="3282"/>
    </row>
    <row r="326" spans="1:7" ht="14.25" thickBot="1">
      <c r="A326" s="3278" t="s">
        <v>306</v>
      </c>
      <c r="B326" s="3268" t="s">
        <v>3232</v>
      </c>
      <c r="C326" s="3270"/>
      <c r="D326" s="3270"/>
      <c r="E326" s="3270"/>
      <c r="F326" s="3269">
        <v>0.05</v>
      </c>
      <c r="G326" s="3283"/>
    </row>
    <row r="327" spans="1:7">
      <c r="A327" s="3274" t="s">
        <v>307</v>
      </c>
      <c r="B327" s="3260" t="s">
        <v>2864</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2876</v>
      </c>
      <c r="C329" s="3265">
        <v>0.15</v>
      </c>
      <c r="D329" s="3265">
        <v>0.15</v>
      </c>
      <c r="E329" s="3265">
        <v>0.15</v>
      </c>
      <c r="F329" s="3265">
        <v>0.15</v>
      </c>
      <c r="G329" s="3266">
        <v>0.15</v>
      </c>
    </row>
    <row r="330" spans="1:7">
      <c r="A330" s="3275" t="s">
        <v>307</v>
      </c>
      <c r="B330" s="3264" t="s">
        <v>2880</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2888</v>
      </c>
      <c r="C332" s="3265">
        <v>0.15</v>
      </c>
      <c r="D332" s="3265">
        <v>0.15</v>
      </c>
      <c r="E332" s="3265">
        <v>0.15</v>
      </c>
      <c r="F332" s="3265">
        <v>0.15</v>
      </c>
      <c r="G332" s="3266">
        <v>0.15</v>
      </c>
    </row>
    <row r="333" spans="1:7">
      <c r="A333" s="3275" t="s">
        <v>307</v>
      </c>
      <c r="B333" s="3264" t="s">
        <v>2892</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2898</v>
      </c>
      <c r="C336" s="3265">
        <v>0.15</v>
      </c>
      <c r="D336" s="3265">
        <v>0.15</v>
      </c>
      <c r="E336" s="3265">
        <v>0.15</v>
      </c>
      <c r="F336" s="3265">
        <v>0.14199999999999999</v>
      </c>
      <c r="G336" s="3266">
        <v>0.15</v>
      </c>
    </row>
    <row r="337" spans="1:7">
      <c r="A337" s="3275" t="s">
        <v>307</v>
      </c>
      <c r="B337" s="3264" t="s">
        <v>2903</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2910</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2915</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2923</v>
      </c>
      <c r="C345" s="3265">
        <v>0.15</v>
      </c>
      <c r="D345" s="3265">
        <v>0.15</v>
      </c>
      <c r="E345" s="3265">
        <v>0.15</v>
      </c>
      <c r="F345" s="3265">
        <v>0.13800000000000001</v>
      </c>
      <c r="G345" s="3266">
        <v>0.15</v>
      </c>
    </row>
    <row r="346" spans="1:7">
      <c r="A346" s="3275" t="s">
        <v>307</v>
      </c>
      <c r="B346" s="3264" t="s">
        <v>2925</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2932</v>
      </c>
      <c r="C348" s="3265">
        <v>0.15</v>
      </c>
      <c r="D348" s="3265">
        <v>0.15</v>
      </c>
      <c r="E348" s="3265">
        <v>0.15</v>
      </c>
      <c r="F348" s="3265">
        <v>0.14399999999999999</v>
      </c>
      <c r="G348" s="3266">
        <v>0.15</v>
      </c>
    </row>
    <row r="349" spans="1:7">
      <c r="A349" s="3275" t="s">
        <v>307</v>
      </c>
      <c r="B349" s="3264" t="s">
        <v>2937</v>
      </c>
      <c r="C349" s="3265">
        <v>0.15</v>
      </c>
      <c r="D349" s="3265">
        <v>0.15</v>
      </c>
      <c r="E349" s="3265">
        <v>0.15</v>
      </c>
      <c r="F349" s="3265">
        <v>0.15</v>
      </c>
      <c r="G349" s="3266">
        <v>0.15</v>
      </c>
    </row>
    <row r="350" spans="1:7">
      <c r="A350" s="3275" t="s">
        <v>307</v>
      </c>
      <c r="B350" s="3264" t="s">
        <v>2940</v>
      </c>
      <c r="C350" s="3265">
        <v>0.15</v>
      </c>
      <c r="D350" s="3265">
        <v>0.15</v>
      </c>
      <c r="E350" s="3265">
        <v>0.15</v>
      </c>
      <c r="F350" s="3265">
        <v>0.14699999999999999</v>
      </c>
      <c r="G350" s="3266">
        <v>0.15</v>
      </c>
    </row>
    <row r="351" spans="1:7">
      <c r="A351" s="3275" t="s">
        <v>307</v>
      </c>
      <c r="B351" s="3264" t="s">
        <v>2945</v>
      </c>
      <c r="C351" s="3265">
        <v>0.15</v>
      </c>
      <c r="D351" s="3265">
        <v>0.15</v>
      </c>
      <c r="E351" s="3265">
        <v>0.15</v>
      </c>
      <c r="F351" s="3265">
        <v>0.13</v>
      </c>
      <c r="G351" s="3266">
        <v>0.15</v>
      </c>
    </row>
    <row r="352" spans="1:7">
      <c r="A352" s="3275" t="s">
        <v>307</v>
      </c>
      <c r="B352" s="3264" t="s">
        <v>2950</v>
      </c>
      <c r="C352" s="3265">
        <v>0.15</v>
      </c>
      <c r="D352" s="3265">
        <v>0.15</v>
      </c>
      <c r="E352" s="3265">
        <v>0.15</v>
      </c>
      <c r="F352" s="3265">
        <v>0.14599999999999999</v>
      </c>
      <c r="G352" s="3266">
        <v>0.15</v>
      </c>
    </row>
    <row r="353" spans="1:7">
      <c r="A353" s="3275" t="s">
        <v>307</v>
      </c>
      <c r="B353" s="3264" t="s">
        <v>2957</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2970</v>
      </c>
      <c r="C355" s="3265">
        <v>0.15</v>
      </c>
      <c r="D355" s="3265">
        <v>0.15</v>
      </c>
      <c r="E355" s="3265">
        <v>0.15</v>
      </c>
      <c r="F355" s="3265">
        <v>0.15</v>
      </c>
      <c r="G355" s="3266">
        <v>0.15</v>
      </c>
    </row>
    <row r="356" spans="1:7">
      <c r="A356" s="3275" t="s">
        <v>307</v>
      </c>
      <c r="B356" s="3264" t="s">
        <v>2977</v>
      </c>
      <c r="C356" s="3265">
        <v>0.15</v>
      </c>
      <c r="D356" s="3265">
        <v>0.15</v>
      </c>
      <c r="E356" s="3265">
        <v>0.15</v>
      </c>
      <c r="F356" s="3265">
        <v>0.15</v>
      </c>
      <c r="G356" s="3266">
        <v>0.15</v>
      </c>
    </row>
    <row r="357" spans="1:7" ht="14.25" thickBot="1">
      <c r="A357" s="3278" t="s">
        <v>307</v>
      </c>
      <c r="B357" s="3268" t="s">
        <v>2982</v>
      </c>
      <c r="C357" s="3269">
        <v>0.126</v>
      </c>
      <c r="D357" s="3269">
        <v>0.127</v>
      </c>
      <c r="E357" s="3269">
        <v>0.14299999999999999</v>
      </c>
      <c r="F357" s="3269">
        <v>0.125</v>
      </c>
      <c r="G357" s="3271">
        <v>0.129</v>
      </c>
    </row>
    <row r="358" spans="1:7">
      <c r="A358" s="3274" t="s">
        <v>2851</v>
      </c>
      <c r="B358" s="3260" t="s">
        <v>2865</v>
      </c>
      <c r="C358" s="3261">
        <v>0.15</v>
      </c>
      <c r="D358" s="3261">
        <v>0.15</v>
      </c>
      <c r="E358" s="3261">
        <v>0.15</v>
      </c>
      <c r="F358" s="3261">
        <v>0.15</v>
      </c>
      <c r="G358" s="3262">
        <v>0.15</v>
      </c>
    </row>
    <row r="359" spans="1:7">
      <c r="A359" s="3275" t="s">
        <v>2851</v>
      </c>
      <c r="B359" s="3264" t="s">
        <v>2871</v>
      </c>
      <c r="C359" s="3265">
        <v>0.1</v>
      </c>
      <c r="D359" s="3265">
        <v>0.1</v>
      </c>
      <c r="E359" s="3265">
        <v>0.1</v>
      </c>
      <c r="F359" s="3265">
        <v>0.1</v>
      </c>
      <c r="G359" s="3266">
        <v>0.1</v>
      </c>
    </row>
    <row r="360" spans="1:7">
      <c r="A360" s="3275" t="s">
        <v>2851</v>
      </c>
      <c r="B360" s="3264" t="s">
        <v>2877</v>
      </c>
      <c r="C360" s="3265">
        <v>0.15</v>
      </c>
      <c r="D360" s="3265">
        <v>0.15</v>
      </c>
      <c r="E360" s="3265">
        <v>0.15</v>
      </c>
      <c r="F360" s="3265">
        <v>0.14899999999999999</v>
      </c>
      <c r="G360" s="3266">
        <v>0.15</v>
      </c>
    </row>
    <row r="361" spans="1:7">
      <c r="A361" s="3275" t="s">
        <v>2851</v>
      </c>
      <c r="B361" s="3264" t="s">
        <v>153</v>
      </c>
      <c r="C361" s="3265">
        <v>0.15</v>
      </c>
      <c r="D361" s="3265">
        <v>0.15</v>
      </c>
      <c r="E361" s="3265">
        <v>0.15</v>
      </c>
      <c r="F361" s="3265">
        <v>0.115</v>
      </c>
      <c r="G361" s="3266">
        <v>0.15</v>
      </c>
    </row>
    <row r="362" spans="1:7">
      <c r="A362" s="3275" t="s">
        <v>2851</v>
      </c>
      <c r="B362" s="3264" t="s">
        <v>2884</v>
      </c>
      <c r="C362" s="3265">
        <v>0.15</v>
      </c>
      <c r="D362" s="3265">
        <v>0.15</v>
      </c>
      <c r="E362" s="3265">
        <v>0.15</v>
      </c>
      <c r="F362" s="3265">
        <v>0.106</v>
      </c>
      <c r="G362" s="3266">
        <v>0.15</v>
      </c>
    </row>
    <row r="363" spans="1:7">
      <c r="A363" s="3275" t="s">
        <v>2851</v>
      </c>
      <c r="B363" s="3264" t="s">
        <v>2889</v>
      </c>
      <c r="C363" s="3265">
        <v>0.15</v>
      </c>
      <c r="D363" s="3265">
        <v>0.15</v>
      </c>
      <c r="E363" s="3265">
        <v>0.15</v>
      </c>
      <c r="F363" s="3265">
        <v>0.14699999999999999</v>
      </c>
      <c r="G363" s="3266">
        <v>0.15</v>
      </c>
    </row>
    <row r="364" spans="1:7">
      <c r="A364" s="3275" t="s">
        <v>2851</v>
      </c>
      <c r="B364" s="3264" t="s">
        <v>2893</v>
      </c>
      <c r="C364" s="3265">
        <v>0.15</v>
      </c>
      <c r="D364" s="3265">
        <v>0.15</v>
      </c>
      <c r="E364" s="3265">
        <v>0.15</v>
      </c>
      <c r="F364" s="3265">
        <v>0.14799999999999999</v>
      </c>
      <c r="G364" s="3266">
        <v>0.15</v>
      </c>
    </row>
    <row r="365" spans="1:7">
      <c r="A365" s="3275" t="s">
        <v>2851</v>
      </c>
      <c r="B365" s="3264" t="s">
        <v>200</v>
      </c>
      <c r="C365" s="3265">
        <v>0.15</v>
      </c>
      <c r="D365" s="3265">
        <v>0.15</v>
      </c>
      <c r="E365" s="3265">
        <v>0.15</v>
      </c>
      <c r="F365" s="3265">
        <v>0.15</v>
      </c>
      <c r="G365" s="3266">
        <v>0.15</v>
      </c>
    </row>
    <row r="366" spans="1:7">
      <c r="A366" s="3275" t="s">
        <v>2851</v>
      </c>
      <c r="B366" s="3264" t="s">
        <v>2896</v>
      </c>
      <c r="C366" s="3265">
        <v>0.15</v>
      </c>
      <c r="D366" s="3265">
        <v>0.15</v>
      </c>
      <c r="E366" s="3265">
        <v>0.15</v>
      </c>
      <c r="F366" s="3265">
        <v>0.15</v>
      </c>
      <c r="G366" s="3266">
        <v>0.15</v>
      </c>
    </row>
    <row r="367" spans="1:7">
      <c r="A367" s="3275" t="s">
        <v>2851</v>
      </c>
      <c r="B367" s="3264" t="s">
        <v>2899</v>
      </c>
      <c r="C367" s="3265">
        <v>0.15</v>
      </c>
      <c r="D367" s="3265">
        <v>0.15</v>
      </c>
      <c r="E367" s="3265">
        <v>0.15</v>
      </c>
      <c r="F367" s="3265">
        <v>0.14699999999999999</v>
      </c>
      <c r="G367" s="3266">
        <v>0.15</v>
      </c>
    </row>
    <row r="368" spans="1:7">
      <c r="A368" s="3275" t="s">
        <v>2851</v>
      </c>
      <c r="B368" s="3264" t="s">
        <v>2904</v>
      </c>
      <c r="C368" s="3265">
        <v>0.15</v>
      </c>
      <c r="D368" s="3265">
        <v>0.15</v>
      </c>
      <c r="E368" s="3265">
        <v>0.15</v>
      </c>
      <c r="F368" s="3265">
        <v>0.13600000000000001</v>
      </c>
      <c r="G368" s="3266">
        <v>0.15</v>
      </c>
    </row>
    <row r="369" spans="1:7">
      <c r="A369" s="3275" t="s">
        <v>2851</v>
      </c>
      <c r="B369" s="3264" t="s">
        <v>214</v>
      </c>
      <c r="C369" s="3265">
        <v>0.15</v>
      </c>
      <c r="D369" s="3265">
        <v>0.15</v>
      </c>
      <c r="E369" s="3265">
        <v>0.15</v>
      </c>
      <c r="F369" s="3265">
        <v>0.14399999999999999</v>
      </c>
      <c r="G369" s="3266">
        <v>0.15</v>
      </c>
    </row>
    <row r="370" spans="1:7">
      <c r="A370" s="3275" t="s">
        <v>2851</v>
      </c>
      <c r="B370" s="3264" t="s">
        <v>221</v>
      </c>
      <c r="C370" s="3265">
        <v>0.15</v>
      </c>
      <c r="D370" s="3265">
        <v>0.15</v>
      </c>
      <c r="E370" s="3265">
        <v>0.15</v>
      </c>
      <c r="F370" s="3265">
        <v>0.14599999999999999</v>
      </c>
      <c r="G370" s="3266">
        <v>0.15</v>
      </c>
    </row>
    <row r="371" spans="1:7">
      <c r="A371" s="3275" t="s">
        <v>2851</v>
      </c>
      <c r="B371" s="3264" t="s">
        <v>229</v>
      </c>
      <c r="C371" s="3265">
        <v>0.15</v>
      </c>
      <c r="D371" s="3265">
        <v>0.15</v>
      </c>
      <c r="E371" s="3265">
        <v>0.15</v>
      </c>
      <c r="F371" s="3265">
        <v>0.12</v>
      </c>
      <c r="G371" s="3266">
        <v>0.15</v>
      </c>
    </row>
    <row r="372" spans="1:7">
      <c r="A372" s="3275" t="s">
        <v>2851</v>
      </c>
      <c r="B372" s="3264" t="s">
        <v>2912</v>
      </c>
      <c r="C372" s="3265">
        <v>0.15</v>
      </c>
      <c r="D372" s="3265">
        <v>0.15</v>
      </c>
      <c r="E372" s="3265">
        <v>0.15</v>
      </c>
      <c r="F372" s="3265">
        <v>0.14299999999999999</v>
      </c>
      <c r="G372" s="3266">
        <v>0.15</v>
      </c>
    </row>
    <row r="373" spans="1:7">
      <c r="A373" s="3275" t="s">
        <v>2851</v>
      </c>
      <c r="B373" s="3264" t="s">
        <v>258</v>
      </c>
      <c r="C373" s="3265">
        <v>0.15</v>
      </c>
      <c r="D373" s="3265">
        <v>0.15</v>
      </c>
      <c r="E373" s="3265">
        <v>0.15</v>
      </c>
      <c r="F373" s="3265">
        <v>0.14599999999999999</v>
      </c>
      <c r="G373" s="3266">
        <v>0.15</v>
      </c>
    </row>
    <row r="374" spans="1:7">
      <c r="A374" s="3275" t="s">
        <v>2851</v>
      </c>
      <c r="B374" s="3264" t="s">
        <v>266</v>
      </c>
      <c r="C374" s="3265">
        <v>0.15</v>
      </c>
      <c r="D374" s="3265">
        <v>0.15</v>
      </c>
      <c r="E374" s="3265">
        <v>0.15</v>
      </c>
      <c r="F374" s="3265">
        <v>0.14399999999999999</v>
      </c>
      <c r="G374" s="3266">
        <v>0.15</v>
      </c>
    </row>
    <row r="375" spans="1:7">
      <c r="A375" s="3275" t="s">
        <v>2851</v>
      </c>
      <c r="B375" s="3264" t="s">
        <v>2920</v>
      </c>
      <c r="C375" s="3265">
        <v>0.15</v>
      </c>
      <c r="D375" s="3265">
        <v>0.15</v>
      </c>
      <c r="E375" s="3265">
        <v>0.15</v>
      </c>
      <c r="F375" s="3265">
        <v>0.13</v>
      </c>
      <c r="G375" s="3266">
        <v>0.15</v>
      </c>
    </row>
    <row r="376" spans="1:7">
      <c r="A376" s="3275" t="s">
        <v>2851</v>
      </c>
      <c r="B376" s="3264" t="s">
        <v>277</v>
      </c>
      <c r="C376" s="3265">
        <v>0.15</v>
      </c>
      <c r="D376" s="3265">
        <v>0.15</v>
      </c>
      <c r="E376" s="3265">
        <v>0.15</v>
      </c>
      <c r="F376" s="3265">
        <v>0.14199999999999999</v>
      </c>
      <c r="G376" s="3266">
        <v>0.15</v>
      </c>
    </row>
    <row r="377" spans="1:7" ht="14.25" thickBot="1">
      <c r="A377" s="3278" t="s">
        <v>2851</v>
      </c>
      <c r="B377" s="3268" t="s">
        <v>2926</v>
      </c>
      <c r="C377" s="3269">
        <v>0.15</v>
      </c>
      <c r="D377" s="3269">
        <v>0.15</v>
      </c>
      <c r="E377" s="3269">
        <v>0.15</v>
      </c>
      <c r="F377" s="3269">
        <v>0.14000000000000001</v>
      </c>
      <c r="G377" s="3271">
        <v>0.15</v>
      </c>
    </row>
    <row r="378" spans="1:7">
      <c r="A378" s="3274" t="s">
        <v>2852</v>
      </c>
      <c r="B378" s="3260" t="s">
        <v>2866</v>
      </c>
      <c r="C378" s="3261">
        <v>0.15</v>
      </c>
      <c r="D378" s="3261">
        <v>0.15</v>
      </c>
      <c r="E378" s="3261">
        <v>0.15</v>
      </c>
      <c r="F378" s="3261">
        <v>0.107</v>
      </c>
      <c r="G378" s="3262">
        <v>0.15</v>
      </c>
    </row>
    <row r="379" spans="1:7">
      <c r="A379" s="3275" t="s">
        <v>2852</v>
      </c>
      <c r="B379" s="3264" t="s">
        <v>2872</v>
      </c>
      <c r="C379" s="3265">
        <v>0.15</v>
      </c>
      <c r="D379" s="3265">
        <v>0.15</v>
      </c>
      <c r="E379" s="3265">
        <v>0.15</v>
      </c>
      <c r="F379" s="3265">
        <v>0.115</v>
      </c>
      <c r="G379" s="3266">
        <v>0.14899999999999999</v>
      </c>
    </row>
    <row r="380" spans="1:7">
      <c r="A380" s="3275" t="s">
        <v>2852</v>
      </c>
      <c r="B380" s="3264" t="s">
        <v>2878</v>
      </c>
      <c r="C380" s="3265">
        <v>0.15</v>
      </c>
      <c r="D380" s="3265">
        <v>0.15</v>
      </c>
      <c r="E380" s="3265">
        <v>0.15</v>
      </c>
      <c r="F380" s="3265">
        <v>0.1</v>
      </c>
      <c r="G380" s="3266">
        <v>0.14799999999999999</v>
      </c>
    </row>
    <row r="381" spans="1:7">
      <c r="A381" s="3275" t="s">
        <v>2852</v>
      </c>
      <c r="B381" s="3264" t="s">
        <v>2881</v>
      </c>
      <c r="C381" s="3265">
        <v>0.15</v>
      </c>
      <c r="D381" s="3265">
        <v>0.15</v>
      </c>
      <c r="E381" s="3265">
        <v>0.15</v>
      </c>
      <c r="F381" s="3265">
        <v>0.126</v>
      </c>
      <c r="G381" s="3266">
        <v>0.15</v>
      </c>
    </row>
    <row r="382" spans="1:7">
      <c r="A382" s="3275" t="s">
        <v>2852</v>
      </c>
      <c r="B382" s="3264" t="s">
        <v>2885</v>
      </c>
      <c r="C382" s="3265">
        <v>0.15</v>
      </c>
      <c r="D382" s="3265">
        <v>0.15</v>
      </c>
      <c r="E382" s="3265">
        <v>0.15</v>
      </c>
      <c r="F382" s="3265">
        <v>0.15</v>
      </c>
      <c r="G382" s="3266">
        <v>0.15</v>
      </c>
    </row>
    <row r="383" spans="1:7">
      <c r="A383" s="3275" t="s">
        <v>2852</v>
      </c>
      <c r="B383" s="3264" t="s">
        <v>2890</v>
      </c>
      <c r="C383" s="3265">
        <v>0.15</v>
      </c>
      <c r="D383" s="3265">
        <v>0.15</v>
      </c>
      <c r="E383" s="3265">
        <v>0.15</v>
      </c>
      <c r="F383" s="3265">
        <v>0.14699999999999999</v>
      </c>
      <c r="G383" s="3266">
        <v>0.15</v>
      </c>
    </row>
    <row r="384" spans="1:7" ht="14.25" thickBot="1">
      <c r="A384" s="3285" t="s">
        <v>2852</v>
      </c>
      <c r="B384" s="3286" t="s">
        <v>2894</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993" t="s">
        <v>3233</v>
      </c>
      <c r="B1" s="3993"/>
      <c r="C1" s="3993"/>
      <c r="D1" s="3993"/>
      <c r="E1" s="3993"/>
      <c r="F1" s="3994"/>
    </row>
    <row r="2" spans="1:6">
      <c r="A2" s="3291" t="s">
        <v>3234</v>
      </c>
      <c r="B2" s="3292"/>
      <c r="C2" s="3292"/>
      <c r="D2" s="3292"/>
      <c r="E2" s="3292"/>
      <c r="F2" s="3292"/>
    </row>
    <row r="3" spans="1:6">
      <c r="A3" s="3291" t="s">
        <v>3235</v>
      </c>
      <c r="B3" s="3292"/>
      <c r="C3" s="3292"/>
      <c r="D3" s="3292"/>
      <c r="E3" s="3292"/>
      <c r="F3" s="3293" t="s">
        <v>3236</v>
      </c>
    </row>
    <row r="4" spans="1:6">
      <c r="A4" s="3294" t="s">
        <v>670</v>
      </c>
      <c r="B4" s="3294" t="s">
        <v>671</v>
      </c>
      <c r="C4" s="3294" t="s">
        <v>21</v>
      </c>
      <c r="D4" s="3294" t="s">
        <v>672</v>
      </c>
      <c r="E4" s="3294" t="s">
        <v>3</v>
      </c>
      <c r="F4" s="3294" t="s">
        <v>3237</v>
      </c>
    </row>
    <row r="5" spans="1:6">
      <c r="A5" s="3295" t="s">
        <v>673</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D21" sqref="D21"/>
    </sheetView>
  </sheetViews>
  <sheetFormatPr defaultRowHeight="13.5"/>
  <cols>
    <col min="1" max="1" width="13.875" customWidth="1"/>
    <col min="11" max="17" width="0" hidden="1" customWidth="1"/>
    <col min="25" max="30" width="0" hidden="1" customWidth="1"/>
  </cols>
  <sheetData>
    <row r="1" spans="1:30">
      <c r="A1" s="3221">
        <f>基准地价修正!G23</f>
        <v>45400</v>
      </c>
      <c r="B1" s="3210" t="s">
        <v>3372</v>
      </c>
      <c r="C1" s="3211"/>
      <c r="D1" s="3211"/>
      <c r="E1" s="3211"/>
      <c r="F1" s="3211"/>
      <c r="G1" s="3211"/>
      <c r="H1" s="3211"/>
      <c r="I1" s="3211"/>
      <c r="J1" s="3165"/>
      <c r="K1" s="3211" t="s">
        <v>454</v>
      </c>
      <c r="L1" s="3211"/>
      <c r="M1" s="3211"/>
      <c r="N1" s="3211"/>
      <c r="O1" s="3211"/>
      <c r="P1" s="3211"/>
      <c r="Q1" s="3165"/>
      <c r="R1" s="3995" t="s">
        <v>456</v>
      </c>
      <c r="S1" s="3996"/>
      <c r="T1" s="3996"/>
      <c r="U1" s="3996"/>
      <c r="V1" s="3996"/>
      <c r="W1" s="3996"/>
      <c r="X1" s="3165"/>
      <c r="Y1" s="3995" t="s">
        <v>457</v>
      </c>
      <c r="Z1" s="3996"/>
      <c r="AA1" s="3996"/>
      <c r="AB1" s="3996"/>
      <c r="AC1" s="3996"/>
      <c r="AD1" s="3996"/>
    </row>
    <row r="2" spans="1:30" s="3143" customFormat="1" ht="14.25" thickBot="1">
      <c r="B2" s="3144"/>
      <c r="C2" s="3145"/>
      <c r="D2" s="3146" t="s">
        <v>2811</v>
      </c>
      <c r="E2" s="3147" t="s">
        <v>2812</v>
      </c>
      <c r="F2" s="3147" t="s">
        <v>2813</v>
      </c>
      <c r="G2" s="3147" t="s">
        <v>2814</v>
      </c>
      <c r="H2" s="3147" t="s">
        <v>2815</v>
      </c>
      <c r="I2" s="3147" t="s">
        <v>2632</v>
      </c>
      <c r="J2" s="3148"/>
      <c r="K2" s="3146" t="s">
        <v>2811</v>
      </c>
      <c r="L2" s="3147" t="s">
        <v>2812</v>
      </c>
      <c r="M2" s="3147" t="s">
        <v>2813</v>
      </c>
      <c r="N2" s="3147" t="s">
        <v>2814</v>
      </c>
      <c r="O2" s="3147" t="s">
        <v>2816</v>
      </c>
      <c r="P2" s="3147" t="s">
        <v>2632</v>
      </c>
      <c r="Q2" s="3148"/>
      <c r="R2" s="3146" t="s">
        <v>2811</v>
      </c>
      <c r="S2" s="3147" t="s">
        <v>2812</v>
      </c>
      <c r="T2" s="3147" t="s">
        <v>2813</v>
      </c>
      <c r="U2" s="3147" t="s">
        <v>2817</v>
      </c>
      <c r="V2" s="3147" t="s">
        <v>2818</v>
      </c>
      <c r="W2" s="3147" t="s">
        <v>2632</v>
      </c>
      <c r="X2" s="3148"/>
      <c r="Y2" s="3146" t="s">
        <v>2811</v>
      </c>
      <c r="Z2" s="3147" t="s">
        <v>2812</v>
      </c>
      <c r="AA2" s="3147" t="s">
        <v>2813</v>
      </c>
      <c r="AB2" s="3147" t="s">
        <v>2819</v>
      </c>
      <c r="AC2" s="3147" t="s">
        <v>2818</v>
      </c>
      <c r="AD2" s="3147" t="s">
        <v>2632</v>
      </c>
    </row>
    <row r="3" spans="1:30" s="3161" customFormat="1" ht="12.75">
      <c r="A3" s="3149" t="s">
        <v>2820</v>
      </c>
      <c r="B3" s="3150"/>
      <c r="C3" s="3151"/>
      <c r="D3" s="3151">
        <f>ROUND(AVERAGEIF(D4:D18,"&lt;&gt;0"),2)</f>
        <v>0.73</v>
      </c>
      <c r="E3" s="3151">
        <f t="shared" ref="E3:H3" si="0">ROUND(AVERAGEIF(E4:E18,"&lt;&gt;0"),2)</f>
        <v>0.4</v>
      </c>
      <c r="F3" s="3151">
        <f t="shared" si="0"/>
        <v>0.2</v>
      </c>
      <c r="G3" s="3151">
        <f t="shared" si="0"/>
        <v>0.78</v>
      </c>
      <c r="H3" s="3151">
        <f t="shared" si="0"/>
        <v>0.63</v>
      </c>
      <c r="I3" s="3151">
        <f>F3</f>
        <v>0.2</v>
      </c>
      <c r="J3" s="3152"/>
      <c r="K3" s="3153">
        <f>ROUND(AVERAGEIF(K4:K18,"&lt;&gt;0"),4)</f>
        <v>7.3000000000000001E-3</v>
      </c>
      <c r="L3" s="3154">
        <f t="shared" ref="L3:O3" si="1">ROUND(AVERAGEIF(L4:L18,"&lt;&gt;0"),4)</f>
        <v>4.0000000000000001E-3</v>
      </c>
      <c r="M3" s="3154">
        <f t="shared" si="1"/>
        <v>2E-3</v>
      </c>
      <c r="N3" s="3154">
        <f t="shared" si="1"/>
        <v>7.7999999999999996E-3</v>
      </c>
      <c r="O3" s="3154">
        <f t="shared" si="1"/>
        <v>6.3E-3</v>
      </c>
      <c r="P3" s="3154">
        <f>M3</f>
        <v>2E-3</v>
      </c>
      <c r="Q3" s="3152"/>
      <c r="R3" s="3155">
        <f>ROUND(SUMPRODUCT(PRODUCT(1+K4:K18)),4)</f>
        <v>1.0908</v>
      </c>
      <c r="S3" s="3156">
        <f t="shared" ref="S3:V3" si="2">ROUND(SUMPRODUCT(PRODUCT(1+L4:L18)),4)</f>
        <v>1.0488</v>
      </c>
      <c r="T3" s="3156">
        <f t="shared" si="2"/>
        <v>1.024</v>
      </c>
      <c r="U3" s="3156">
        <f t="shared" si="2"/>
        <v>1.0980000000000001</v>
      </c>
      <c r="V3" s="3156">
        <f t="shared" si="2"/>
        <v>1.0779000000000001</v>
      </c>
      <c r="W3" s="3155">
        <f>T3</f>
        <v>1.024</v>
      </c>
      <c r="X3" s="3152"/>
      <c r="Y3" s="3157">
        <f>ROUND(AVERAGEIF(Y5:Y18,"&lt;&gt;0"),4)</f>
        <v>8.6999999999999994E-3</v>
      </c>
      <c r="Z3" s="3158">
        <f t="shared" ref="Z3:AC3" si="3">ROUND(AVERAGEIF(Z5:Z18,"&lt;&gt;0"),4)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3375</v>
      </c>
      <c r="B5" s="3177">
        <v>2024</v>
      </c>
      <c r="C5" s="3178">
        <v>2</v>
      </c>
      <c r="D5" s="3179">
        <v>0</v>
      </c>
      <c r="E5" s="3179">
        <v>0</v>
      </c>
      <c r="F5" s="3179">
        <v>0</v>
      </c>
      <c r="G5" s="3179">
        <v>0</v>
      </c>
      <c r="H5" s="3179">
        <v>0</v>
      </c>
      <c r="I5" s="3180">
        <f t="shared" ref="I5:I18" si="4">F5</f>
        <v>0</v>
      </c>
      <c r="J5" s="3181"/>
      <c r="K5" s="3182">
        <f t="shared" ref="K5:O18" si="5">D5/100</f>
        <v>0</v>
      </c>
      <c r="L5" s="3172">
        <f t="shared" si="5"/>
        <v>0</v>
      </c>
      <c r="M5" s="3172">
        <f t="shared" si="5"/>
        <v>0</v>
      </c>
      <c r="N5" s="3172">
        <f t="shared" si="5"/>
        <v>0</v>
      </c>
      <c r="O5" s="3172">
        <f t="shared" si="5"/>
        <v>0</v>
      </c>
      <c r="P5" s="3172">
        <f>M5</f>
        <v>0</v>
      </c>
      <c r="Q5" s="3181"/>
      <c r="R5" s="3183">
        <f>ROUND(IF(项目基本情况!$B$8="出让",SUMPRODUCT(PRODUCT(1+K5:$K$18)),SUMPRODUCT(PRODUCT(1+K5:$K$17))),4)</f>
        <v>1.0804</v>
      </c>
      <c r="S5" s="3183">
        <f>ROUND(IF(项目基本情况!$B$8="出让",SUMPRODUCT(PRODUCT(1+L5:$L$18)),SUMPRODUCT(PRODUCT(1+L5:$L$17))),4)</f>
        <v>1.0471999999999999</v>
      </c>
      <c r="T5" s="3183">
        <f>ROUND(IF(项目基本情况!$B$8="出让",SUMPRODUCT(PRODUCT(1+M5:$M$18)),SUMPRODUCT(PRODUCT(1+M5:$M$17))),4)</f>
        <v>1.0266</v>
      </c>
      <c r="U5" s="3183">
        <f>ROUND(IF(项目基本情况!$B$8="出让",SUMPRODUCT(PRODUCT(1+N5:$N$18)),SUMPRODUCT(PRODUCT(1+N5:$N$17))),4)</f>
        <v>1.0859000000000001</v>
      </c>
      <c r="V5" s="3183">
        <f>ROUND(IF(项目基本情况!$B$8="出让",SUMPRODUCT(PRODUCT(1+O5:$O$18)),SUMPRODUCT(PRODUCT(1+O5:$O$17))),4)</f>
        <v>1.0741000000000001</v>
      </c>
      <c r="W5" s="3183">
        <f>T5</f>
        <v>1.0266</v>
      </c>
      <c r="X5" s="3181"/>
      <c r="Y5" s="3184">
        <f>IF(D5=0,0,ROUND(AVERAGE(D5:D18)/100,4))</f>
        <v>0</v>
      </c>
      <c r="Z5" s="3184">
        <f t="shared" ref="Z5:AC5" si="6">IF(E5=0,0,ROUND(AVERAGE(E5:E18)/100,4))</f>
        <v>0</v>
      </c>
      <c r="AA5" s="3184">
        <f t="shared" si="6"/>
        <v>0</v>
      </c>
      <c r="AB5" s="3184">
        <f t="shared" si="6"/>
        <v>0</v>
      </c>
      <c r="AC5" s="3184">
        <f t="shared" si="6"/>
        <v>0</v>
      </c>
      <c r="AD5" s="3184">
        <f t="shared" ref="AD5:AD17" si="7">AA5</f>
        <v>0</v>
      </c>
    </row>
    <row r="6" spans="1:30" s="3185" customFormat="1" ht="12.75">
      <c r="A6" s="2205" t="s">
        <v>3376</v>
      </c>
      <c r="B6" s="3177">
        <v>2024</v>
      </c>
      <c r="C6" s="3178">
        <v>1</v>
      </c>
      <c r="D6" s="3179">
        <v>0</v>
      </c>
      <c r="E6" s="3179">
        <v>0</v>
      </c>
      <c r="F6" s="3179">
        <v>0</v>
      </c>
      <c r="G6" s="3179">
        <v>0</v>
      </c>
      <c r="H6" s="3196">
        <v>0</v>
      </c>
      <c r="I6" s="3180">
        <v>0</v>
      </c>
      <c r="J6" s="3181"/>
      <c r="K6" s="3182">
        <f t="shared" ref="K6" si="8">D6/100</f>
        <v>0</v>
      </c>
      <c r="L6" s="3172">
        <f t="shared" ref="L6" si="9">E6/100</f>
        <v>0</v>
      </c>
      <c r="M6" s="3172">
        <f t="shared" ref="M6" si="10">F6/100</f>
        <v>0</v>
      </c>
      <c r="N6" s="3172">
        <f t="shared" ref="N6" si="11">G6/100</f>
        <v>0</v>
      </c>
      <c r="O6" s="3172">
        <f t="shared" ref="O6" si="12">H6/100</f>
        <v>0</v>
      </c>
      <c r="P6" s="3172">
        <f t="shared" ref="P6" si="13">M6</f>
        <v>0</v>
      </c>
      <c r="Q6" s="3181"/>
      <c r="R6" s="3183">
        <f>ROUND(IF(项目基本情况!$B$8="出让",SUMPRODUCT(PRODUCT(1+K6:$K$18)),SUMPRODUCT(PRODUCT(1+K6:$K$17))),4)</f>
        <v>1.0804</v>
      </c>
      <c r="S6" s="3183">
        <f>ROUND(IF(项目基本情况!$B$8="出让",SUMPRODUCT(PRODUCT(1+L6:$L$18)),SUMPRODUCT(PRODUCT(1+L6:$L$17))),4)</f>
        <v>1.0471999999999999</v>
      </c>
      <c r="T6" s="3183">
        <f>ROUND(IF(项目基本情况!$B$8="出让",SUMPRODUCT(PRODUCT(1+M6:$M$18)),SUMPRODUCT(PRODUCT(1+M6:$M$17))),4)</f>
        <v>1.0266</v>
      </c>
      <c r="U6" s="3183">
        <f>ROUND(IF(项目基本情况!$B$8="出让",SUMPRODUCT(PRODUCT(1+N6:$N$18)),SUMPRODUCT(PRODUCT(1+N6:$N$17))),4)</f>
        <v>1.0859000000000001</v>
      </c>
      <c r="V6" s="3183">
        <f>ROUND(IF(项目基本情况!$B$8="出让",SUMPRODUCT(PRODUCT(1+O6:$O$18)),SUMPRODUCT(PRODUCT(1+O6:$O$17))),4)</f>
        <v>1.0741000000000001</v>
      </c>
      <c r="W6" s="3183">
        <f t="shared" ref="W6" si="14">T6</f>
        <v>1.0266</v>
      </c>
      <c r="X6" s="3181"/>
      <c r="Y6" s="3184"/>
      <c r="Z6" s="3184"/>
      <c r="AA6" s="3184"/>
      <c r="AB6" s="3184"/>
      <c r="AC6" s="3184"/>
      <c r="AD6" s="3184"/>
    </row>
    <row r="7" spans="1:30" s="3195" customFormat="1" ht="12.75">
      <c r="A7" s="3186" t="s">
        <v>3378</v>
      </c>
      <c r="B7" s="3187">
        <v>2023</v>
      </c>
      <c r="C7" s="3188">
        <v>4</v>
      </c>
      <c r="D7" s="3189">
        <v>0.19</v>
      </c>
      <c r="E7" s="3189">
        <v>0.24</v>
      </c>
      <c r="F7" s="3189">
        <v>-0.16</v>
      </c>
      <c r="G7" s="3189">
        <v>0.17</v>
      </c>
      <c r="H7" s="3190">
        <v>0.61</v>
      </c>
      <c r="I7" s="3191">
        <f>F7</f>
        <v>-0.16</v>
      </c>
      <c r="J7" s="3192"/>
      <c r="K7" s="3193">
        <f t="shared" si="5"/>
        <v>1.9E-3</v>
      </c>
      <c r="L7" s="3194">
        <f t="shared" si="5"/>
        <v>2.3999999999999998E-3</v>
      </c>
      <c r="M7" s="3194">
        <f t="shared" si="5"/>
        <v>-1.6000000000000001E-3</v>
      </c>
      <c r="N7" s="3194">
        <f t="shared" si="5"/>
        <v>1.7000000000000001E-3</v>
      </c>
      <c r="O7" s="3194">
        <f t="shared" si="5"/>
        <v>6.0999999999999995E-3</v>
      </c>
      <c r="P7" s="3194">
        <f t="shared" ref="P7" si="15">M7</f>
        <v>-1.6000000000000001E-3</v>
      </c>
      <c r="Q7" s="3192"/>
      <c r="R7" s="3192">
        <f>ROUND(IF(项目基本情况!$B$8="出让",SUMPRODUCT(PRODUCT(1+K7:$K$18)),SUMPRODUCT(PRODUCT(1+K7:$K$17))),4)</f>
        <v>1.0804</v>
      </c>
      <c r="S7" s="3192">
        <f>ROUND(IF(项目基本情况!$B$8="出让",SUMPRODUCT(PRODUCT(1+L7:$L$18)),SUMPRODUCT(PRODUCT(1+L7:$L$17))),4)</f>
        <v>1.0471999999999999</v>
      </c>
      <c r="T7" s="3192">
        <f>ROUND(IF(项目基本情况!$B$8="出让",SUMPRODUCT(PRODUCT(1+M7:$M$18)),SUMPRODUCT(PRODUCT(1+M7:$M$17))),4)</f>
        <v>1.0266</v>
      </c>
      <c r="U7" s="3192">
        <f>ROUND(IF(项目基本情况!$B$8="出让",SUMPRODUCT(PRODUCT(1+N7:$N$18)),SUMPRODUCT(PRODUCT(1+N7:$N$17))),4)</f>
        <v>1.0859000000000001</v>
      </c>
      <c r="V7" s="3192">
        <f>ROUND(IF(项目基本情况!$B$8="出让",SUMPRODUCT(PRODUCT(1+O7:$O$18)),SUMPRODUCT(PRODUCT(1+O7:$O$17))),4)</f>
        <v>1.0741000000000001</v>
      </c>
      <c r="W7" s="3192">
        <f t="shared" ref="W7" si="16">T7</f>
        <v>1.0266</v>
      </c>
      <c r="X7" s="3192"/>
      <c r="Y7" s="3194"/>
      <c r="Z7" s="3194"/>
      <c r="AA7" s="3194"/>
      <c r="AB7" s="3194"/>
      <c r="AC7" s="3194"/>
      <c r="AD7" s="3194"/>
    </row>
    <row r="8" spans="1:30" s="3185" customFormat="1" ht="12.75">
      <c r="A8" s="3176" t="s">
        <v>3379</v>
      </c>
      <c r="B8" s="3177">
        <v>2023</v>
      </c>
      <c r="C8" s="3178">
        <v>3</v>
      </c>
      <c r="D8" s="3179">
        <v>0.25</v>
      </c>
      <c r="E8" s="3179">
        <v>0.5</v>
      </c>
      <c r="F8" s="3179">
        <v>0.31</v>
      </c>
      <c r="G8" s="3179">
        <v>0.21</v>
      </c>
      <c r="H8" s="3196">
        <v>0.43</v>
      </c>
      <c r="I8" s="3180">
        <f t="shared" si="4"/>
        <v>0.31</v>
      </c>
      <c r="J8" s="3181"/>
      <c r="K8" s="3182">
        <f t="shared" ref="K8:K10" si="17">D8/100</f>
        <v>2.5000000000000001E-3</v>
      </c>
      <c r="L8" s="3172">
        <f t="shared" ref="L8:L10" si="18">E8/100</f>
        <v>5.0000000000000001E-3</v>
      </c>
      <c r="M8" s="3172">
        <f t="shared" ref="M8:M10" si="19">F8/100</f>
        <v>3.0999999999999999E-3</v>
      </c>
      <c r="N8" s="3172">
        <f t="shared" ref="N8:N10" si="20">G8/100</f>
        <v>2.0999999999999999E-3</v>
      </c>
      <c r="O8" s="3172">
        <f t="shared" ref="O8:O10" si="21">H8/100</f>
        <v>4.3E-3</v>
      </c>
      <c r="P8" s="3172">
        <f t="shared" ref="P8:P10" si="22">M8</f>
        <v>3.0999999999999999E-3</v>
      </c>
      <c r="Q8" s="3181"/>
      <c r="R8" s="3183">
        <f>ROUND(IF(项目基本情况!$B$8="出让",SUMPRODUCT(PRODUCT(1+K8:$K$18)),SUMPRODUCT(PRODUCT(1+K8:$K$17))),4)</f>
        <v>1.0783</v>
      </c>
      <c r="S8" s="3183">
        <f>ROUND(IF(项目基本情况!$B$8="出让",SUMPRODUCT(PRODUCT(1+L8:$L$18)),SUMPRODUCT(PRODUCT(1+L8:$L$17))),4)</f>
        <v>1.0447</v>
      </c>
      <c r="T8" s="3183">
        <f>ROUND(IF(项目基本情况!$B$8="出让",SUMPRODUCT(PRODUCT(1+M8:$M$18)),SUMPRODUCT(PRODUCT(1+M8:$M$17))),4)</f>
        <v>1.0282</v>
      </c>
      <c r="U8" s="3183">
        <f>ROUND(IF(项目基本情况!$B$8="出让",SUMPRODUCT(PRODUCT(1+N8:$N$18)),SUMPRODUCT(PRODUCT(1+N8:$N$17))),4)</f>
        <v>1.0841000000000001</v>
      </c>
      <c r="V8" s="3183">
        <f>ROUND(IF(项目基本情况!$B$8="出让",SUMPRODUCT(PRODUCT(1+O8:$O$18)),SUMPRODUCT(PRODUCT(1+O8:$O$17))),4)</f>
        <v>1.0674999999999999</v>
      </c>
      <c r="W8" s="3183">
        <f t="shared" ref="W8:W9" si="23">T8</f>
        <v>1.0282</v>
      </c>
      <c r="X8" s="3181"/>
      <c r="Y8" s="3184"/>
      <c r="Z8" s="3184"/>
      <c r="AA8" s="3184"/>
      <c r="AB8" s="3184"/>
      <c r="AC8" s="3184"/>
      <c r="AD8" s="3184"/>
    </row>
    <row r="9" spans="1:30" s="3185" customFormat="1" ht="12.75">
      <c r="A9" s="3176" t="s">
        <v>3371</v>
      </c>
      <c r="B9" s="3177">
        <v>2023</v>
      </c>
      <c r="C9" s="3178">
        <v>2</v>
      </c>
      <c r="D9" s="3179">
        <v>0.91</v>
      </c>
      <c r="E9" s="3179">
        <v>0.66</v>
      </c>
      <c r="F9" s="3179">
        <v>0.47</v>
      </c>
      <c r="G9" s="3179">
        <v>0.96</v>
      </c>
      <c r="H9" s="3196">
        <v>0.71</v>
      </c>
      <c r="I9" s="3180">
        <f t="shared" si="4"/>
        <v>0.47</v>
      </c>
      <c r="J9" s="3181"/>
      <c r="K9" s="3182">
        <f t="shared" si="17"/>
        <v>9.1000000000000004E-3</v>
      </c>
      <c r="L9" s="3172">
        <f t="shared" si="18"/>
        <v>6.6E-3</v>
      </c>
      <c r="M9" s="3172">
        <f t="shared" si="19"/>
        <v>4.6999999999999993E-3</v>
      </c>
      <c r="N9" s="3172">
        <f t="shared" si="20"/>
        <v>9.5999999999999992E-3</v>
      </c>
      <c r="O9" s="3172">
        <f t="shared" si="21"/>
        <v>7.0999999999999995E-3</v>
      </c>
      <c r="P9" s="3172">
        <f t="shared" si="22"/>
        <v>4.6999999999999993E-3</v>
      </c>
      <c r="Q9" s="3181"/>
      <c r="R9" s="3183">
        <f>ROUND(IF(项目基本情况!$B$8="出让",SUMPRODUCT(PRODUCT(1+K9:$K$18)),SUMPRODUCT(PRODUCT(1+K9:$K$17))),4)</f>
        <v>1.0755999999999999</v>
      </c>
      <c r="S9" s="3183">
        <f>ROUND(IF(项目基本情况!$B$8="出让",SUMPRODUCT(PRODUCT(1+L9:$L$18)),SUMPRODUCT(PRODUCT(1+L9:$L$17))),4)</f>
        <v>1.0395000000000001</v>
      </c>
      <c r="T9" s="3183">
        <f>ROUND(IF(项目基本情况!$B$8="出让",SUMPRODUCT(PRODUCT(1+M9:$M$18)),SUMPRODUCT(PRODUCT(1+M9:$M$17))),4)</f>
        <v>1.0250999999999999</v>
      </c>
      <c r="U9" s="3183">
        <f>ROUND(IF(项目基本情况!$B$8="出让",SUMPRODUCT(PRODUCT(1+N9:$N$18)),SUMPRODUCT(PRODUCT(1+N9:$N$17))),4)</f>
        <v>1.0818000000000001</v>
      </c>
      <c r="V9" s="3183">
        <f>ROUND(IF(项目基本情况!$B$8="出让",SUMPRODUCT(PRODUCT(1+O9:$O$18)),SUMPRODUCT(PRODUCT(1+O9:$O$17))),4)</f>
        <v>1.0629999999999999</v>
      </c>
      <c r="W9" s="3183">
        <f t="shared" si="23"/>
        <v>1.0250999999999999</v>
      </c>
      <c r="X9" s="3181"/>
      <c r="Y9" s="3184"/>
      <c r="Z9" s="3184"/>
      <c r="AA9" s="3184"/>
      <c r="AB9" s="3184"/>
      <c r="AC9" s="3184"/>
      <c r="AD9" s="3184"/>
    </row>
    <row r="10" spans="1:30" s="3185" customFormat="1" ht="12.75">
      <c r="A10" s="3176" t="s">
        <v>3370</v>
      </c>
      <c r="B10" s="3177">
        <v>2023</v>
      </c>
      <c r="C10" s="3178">
        <v>1</v>
      </c>
      <c r="D10" s="3179">
        <v>0.89</v>
      </c>
      <c r="E10" s="3179">
        <v>0.74</v>
      </c>
      <c r="F10" s="3179">
        <v>0.56999999999999995</v>
      </c>
      <c r="G10" s="3179">
        <v>0.92</v>
      </c>
      <c r="H10" s="3196">
        <v>0.5</v>
      </c>
      <c r="I10" s="3180">
        <f t="shared" si="4"/>
        <v>0.56999999999999995</v>
      </c>
      <c r="J10" s="3181"/>
      <c r="K10" s="3182">
        <f t="shared" si="17"/>
        <v>8.8999999999999999E-3</v>
      </c>
      <c r="L10" s="3172">
        <f t="shared" si="18"/>
        <v>7.4000000000000003E-3</v>
      </c>
      <c r="M10" s="3172">
        <f t="shared" si="19"/>
        <v>5.6999999999999993E-3</v>
      </c>
      <c r="N10" s="3172">
        <f t="shared" si="20"/>
        <v>9.1999999999999998E-3</v>
      </c>
      <c r="O10" s="3172">
        <f t="shared" si="21"/>
        <v>5.0000000000000001E-3</v>
      </c>
      <c r="P10" s="3172">
        <f t="shared" si="22"/>
        <v>5.6999999999999993E-3</v>
      </c>
      <c r="Q10" s="3181"/>
      <c r="R10" s="3183">
        <f>ROUND(IF(项目基本情况!$B$8="出让",SUMPRODUCT(PRODUCT(1+K10:$K$18)),SUMPRODUCT(PRODUCT(1+K10:$K$17))),4)</f>
        <v>1.0659000000000001</v>
      </c>
      <c r="S10" s="3183">
        <f>ROUND(IF(项目基本情况!$B$8="出让",SUMPRODUCT(PRODUCT(1+L10:$L$18)),SUMPRODUCT(PRODUCT(1+L10:$L$17))),4)</f>
        <v>1.0326</v>
      </c>
      <c r="T10" s="3183">
        <f>ROUND(IF(项目基本情况!$B$8="出让",SUMPRODUCT(PRODUCT(1+M10:$M$18)),SUMPRODUCT(PRODUCT(1+M10:$M$17))),4)</f>
        <v>1.0203</v>
      </c>
      <c r="U10" s="3183">
        <f>ROUND(IF(项目基本情况!$B$8="出让",SUMPRODUCT(PRODUCT(1+N10:$N$18)),SUMPRODUCT(PRODUCT(1+N10:$N$17))),4)</f>
        <v>1.0714999999999999</v>
      </c>
      <c r="V10" s="3183">
        <f>ROUND(IF(项目基本情况!$B$8="出让",SUMPRODUCT(PRODUCT(1+O10:$O$18)),SUMPRODUCT(PRODUCT(1+O10:$O$17))),4)</f>
        <v>1.0555000000000001</v>
      </c>
      <c r="W10" s="3183">
        <f t="shared" ref="W10:W17" si="24">T10</f>
        <v>1.0203</v>
      </c>
      <c r="X10" s="3181"/>
      <c r="Y10" s="3184"/>
      <c r="Z10" s="3184"/>
      <c r="AA10" s="3184"/>
      <c r="AB10" s="3184"/>
      <c r="AC10" s="3184"/>
      <c r="AD10" s="3184"/>
    </row>
    <row r="11" spans="1:30" s="3185" customFormat="1" ht="12.75">
      <c r="A11" s="3176" t="s">
        <v>3369</v>
      </c>
      <c r="B11" s="3177">
        <v>2022</v>
      </c>
      <c r="C11" s="3178">
        <v>4</v>
      </c>
      <c r="D11" s="3179">
        <v>0.62</v>
      </c>
      <c r="E11" s="3179">
        <v>0.2</v>
      </c>
      <c r="F11" s="3179">
        <v>0.11</v>
      </c>
      <c r="G11" s="3179">
        <v>0.69</v>
      </c>
      <c r="H11" s="3196">
        <v>0.53</v>
      </c>
      <c r="I11" s="3180">
        <f t="shared" si="4"/>
        <v>0.11</v>
      </c>
      <c r="J11" s="3181"/>
      <c r="K11" s="3182">
        <f t="shared" si="5"/>
        <v>6.1999999999999998E-3</v>
      </c>
      <c r="L11" s="3172">
        <f t="shared" si="5"/>
        <v>2E-3</v>
      </c>
      <c r="M11" s="3172">
        <f t="shared" si="5"/>
        <v>1.1000000000000001E-3</v>
      </c>
      <c r="N11" s="3172">
        <f t="shared" si="5"/>
        <v>6.8999999999999999E-3</v>
      </c>
      <c r="O11" s="3172">
        <f t="shared" si="5"/>
        <v>5.3E-3</v>
      </c>
      <c r="P11" s="3172">
        <f t="shared" ref="P11:P18" si="25">M11</f>
        <v>1.1000000000000001E-3</v>
      </c>
      <c r="Q11" s="3181"/>
      <c r="R11" s="3183">
        <f>ROUND(IF(项目基本情况!$B$8="出让",SUMPRODUCT(PRODUCT(1+K11:$K$18)),SUMPRODUCT(PRODUCT(1+K11:$K$17))),4)</f>
        <v>1.0565</v>
      </c>
      <c r="S11" s="3183">
        <f>ROUND(IF(项目基本情况!$B$8="出让",SUMPRODUCT(PRODUCT(1+L11:$L$18)),SUMPRODUCT(PRODUCT(1+L11:$L$17))),4)</f>
        <v>1.0250999999999999</v>
      </c>
      <c r="T11" s="3183">
        <f>ROUND(IF(项目基本情况!$B$8="出让",SUMPRODUCT(PRODUCT(1+M11:$M$18)),SUMPRODUCT(PRODUCT(1+M11:$M$17))),4)</f>
        <v>1.0145</v>
      </c>
      <c r="U11" s="3183">
        <f>ROUND(IF(项目基本情况!$B$8="出让",SUMPRODUCT(PRODUCT(1+N11:$N$18)),SUMPRODUCT(PRODUCT(1+N11:$N$17))),4)</f>
        <v>1.0618000000000001</v>
      </c>
      <c r="V11" s="3183">
        <f>ROUND(IF(项目基本情况!$B$8="出让",SUMPRODUCT(PRODUCT(1+O11:$O$18)),SUMPRODUCT(PRODUCT(1+O11:$O$17))),4)</f>
        <v>1.0502</v>
      </c>
      <c r="W11" s="3183">
        <f t="shared" si="24"/>
        <v>1.0145</v>
      </c>
      <c r="X11" s="3181"/>
      <c r="Y11" s="3184">
        <f>IF(D11=0,0,ROUND(AVERAGE(D11:D19)/100,4))</f>
        <v>8.0999999999999996E-3</v>
      </c>
      <c r="Z11" s="3184">
        <f t="shared" ref="Z11:AC11" si="26">IF(E11=0,0,ROUND(AVERAGE(E11:E18)/100,4))</f>
        <v>3.3E-3</v>
      </c>
      <c r="AA11" s="3184">
        <f t="shared" si="26"/>
        <v>1.5E-3</v>
      </c>
      <c r="AB11" s="3184">
        <f t="shared" si="26"/>
        <v>8.8999999999999999E-3</v>
      </c>
      <c r="AC11" s="3184">
        <f t="shared" si="26"/>
        <v>6.6E-3</v>
      </c>
      <c r="AD11" s="3184">
        <f t="shared" si="7"/>
        <v>1.5E-3</v>
      </c>
    </row>
    <row r="12" spans="1:30" s="3185" customFormat="1" ht="12.75">
      <c r="A12" s="3176" t="s">
        <v>3365</v>
      </c>
      <c r="B12" s="3177">
        <v>2022</v>
      </c>
      <c r="C12" s="3178">
        <v>3</v>
      </c>
      <c r="D12" s="3179">
        <v>0.66</v>
      </c>
      <c r="E12" s="3179">
        <v>0.32</v>
      </c>
      <c r="F12" s="3179">
        <v>0.23</v>
      </c>
      <c r="G12" s="3179">
        <v>0.72</v>
      </c>
      <c r="H12" s="3196">
        <v>0.63</v>
      </c>
      <c r="I12" s="3180">
        <f t="shared" si="4"/>
        <v>0.23</v>
      </c>
      <c r="J12" s="3181"/>
      <c r="K12" s="3182">
        <f t="shared" si="5"/>
        <v>6.6E-3</v>
      </c>
      <c r="L12" s="3172">
        <f t="shared" si="5"/>
        <v>3.2000000000000002E-3</v>
      </c>
      <c r="M12" s="3172">
        <f t="shared" si="5"/>
        <v>2.3E-3</v>
      </c>
      <c r="N12" s="3172">
        <f t="shared" si="5"/>
        <v>7.1999999999999998E-3</v>
      </c>
      <c r="O12" s="3172">
        <f t="shared" si="5"/>
        <v>6.3E-3</v>
      </c>
      <c r="P12" s="3172">
        <f t="shared" si="25"/>
        <v>2.3E-3</v>
      </c>
      <c r="Q12" s="3181"/>
      <c r="R12" s="3183">
        <f>ROUND(IF(项目基本情况!$B$8="出让",SUMPRODUCT(PRODUCT(1+K12:$K$18)),SUMPRODUCT(PRODUCT(1+K12:$K$17))),4)</f>
        <v>1.05</v>
      </c>
      <c r="S12" s="3183">
        <f>ROUND(IF(项目基本情况!$B$8="出让",SUMPRODUCT(PRODUCT(1+L12:$L$18)),SUMPRODUCT(PRODUCT(1+L12:$L$17))),4)</f>
        <v>1.0229999999999999</v>
      </c>
      <c r="T12" s="3183">
        <f>ROUND(IF(项目基本情况!$B$8="出让",SUMPRODUCT(PRODUCT(1+M12:$M$18)),SUMPRODUCT(PRODUCT(1+M12:$M$17))),4)</f>
        <v>1.0134000000000001</v>
      </c>
      <c r="U12" s="3183">
        <f>ROUND(IF(项目基本情况!$B$8="出让",SUMPRODUCT(PRODUCT(1+N12:$N$18)),SUMPRODUCT(PRODUCT(1+N12:$N$17))),4)</f>
        <v>1.0545</v>
      </c>
      <c r="V12" s="3183">
        <f>ROUND(IF(项目基本情况!$B$8="出让",SUMPRODUCT(PRODUCT(1+O12:$O$18)),SUMPRODUCT(PRODUCT(1+O12:$O$17))),4)</f>
        <v>1.0447</v>
      </c>
      <c r="W12" s="3183">
        <f t="shared" si="24"/>
        <v>1.0134000000000001</v>
      </c>
      <c r="X12" s="3181"/>
      <c r="Y12" s="3184">
        <f>IF(D12=0,0,ROUND(AVERAGE(D12:D18)/100,4))</f>
        <v>8.3999999999999995E-3</v>
      </c>
      <c r="Z12" s="3184">
        <f t="shared" ref="Z12:AC12" si="27">IF(E12=0,0,ROUND(AVERAGE(E12:E18)/100,4))</f>
        <v>3.5000000000000001E-3</v>
      </c>
      <c r="AA12" s="3184">
        <f t="shared" si="27"/>
        <v>1.5E-3</v>
      </c>
      <c r="AB12" s="3184">
        <f t="shared" si="27"/>
        <v>9.1999999999999998E-3</v>
      </c>
      <c r="AC12" s="3184">
        <f t="shared" si="27"/>
        <v>6.7999999999999996E-3</v>
      </c>
      <c r="AD12" s="3184">
        <f t="shared" si="7"/>
        <v>1.5E-3</v>
      </c>
    </row>
    <row r="13" spans="1:30" s="3185" customFormat="1" ht="12.75">
      <c r="A13" s="3176" t="s">
        <v>3356</v>
      </c>
      <c r="B13" s="3177">
        <v>2022</v>
      </c>
      <c r="C13" s="3178">
        <v>2</v>
      </c>
      <c r="D13" s="3179">
        <v>0.93</v>
      </c>
      <c r="E13" s="3179">
        <v>0.15</v>
      </c>
      <c r="F13" s="3179">
        <v>0.01</v>
      </c>
      <c r="G13" s="3179">
        <v>1.05</v>
      </c>
      <c r="H13" s="3196">
        <v>1.08</v>
      </c>
      <c r="I13" s="3180">
        <f t="shared" si="4"/>
        <v>0.01</v>
      </c>
      <c r="J13" s="3181"/>
      <c r="K13" s="3182">
        <f t="shared" si="5"/>
        <v>9.300000000000001E-3</v>
      </c>
      <c r="L13" s="3172">
        <f t="shared" si="5"/>
        <v>1.5E-3</v>
      </c>
      <c r="M13" s="3172">
        <f t="shared" si="5"/>
        <v>1E-4</v>
      </c>
      <c r="N13" s="3172">
        <f t="shared" si="5"/>
        <v>1.0500000000000001E-2</v>
      </c>
      <c r="O13" s="3172">
        <f t="shared" si="5"/>
        <v>1.0800000000000001E-2</v>
      </c>
      <c r="P13" s="3172">
        <f t="shared" si="25"/>
        <v>1E-4</v>
      </c>
      <c r="Q13" s="3181"/>
      <c r="R13" s="3183">
        <f>ROUND(IF(项目基本情况!$B$8="出让",SUMPRODUCT(PRODUCT(1+K13:$K$18)),SUMPRODUCT(PRODUCT(1+K13:$K$17))),4)</f>
        <v>1.0430999999999999</v>
      </c>
      <c r="S13" s="3183">
        <f>ROUND(IF(项目基本情况!$B$8="出让",SUMPRODUCT(PRODUCT(1+L13:$L$18)),SUMPRODUCT(PRODUCT(1+L13:$L$17))),4)</f>
        <v>1.0197000000000001</v>
      </c>
      <c r="T13" s="3183">
        <f>ROUND(IF(项目基本情况!$B$8="出让",SUMPRODUCT(PRODUCT(1+M13:$M$18)),SUMPRODUCT(PRODUCT(1+M13:$M$17))),4)</f>
        <v>1.0109999999999999</v>
      </c>
      <c r="U13" s="3183">
        <f>ROUND(IF(项目基本情况!$B$8="出让",SUMPRODUCT(PRODUCT(1+N13:$N$18)),SUMPRODUCT(PRODUCT(1+N13:$N$17))),4)</f>
        <v>1.0468999999999999</v>
      </c>
      <c r="V13" s="3183">
        <f>ROUND(IF(项目基本情况!$B$8="出让",SUMPRODUCT(PRODUCT(1+O13:$O$18)),SUMPRODUCT(PRODUCT(1+O13:$O$17))),4)</f>
        <v>1.0382</v>
      </c>
      <c r="W13" s="3183">
        <f t="shared" si="24"/>
        <v>1.0109999999999999</v>
      </c>
      <c r="X13" s="3181"/>
      <c r="Y13" s="3184">
        <f>IF(D13=0,0,ROUND(AVERAGE(D13:D18)/100,4))</f>
        <v>8.6999999999999994E-3</v>
      </c>
      <c r="Z13" s="3184">
        <f t="shared" ref="Z13:AC13" si="28">IF(E13=0,0,ROUND(AVERAGE(E13:E18)/100,4))</f>
        <v>3.5000000000000001E-3</v>
      </c>
      <c r="AA13" s="3184">
        <f t="shared" si="28"/>
        <v>1.4E-3</v>
      </c>
      <c r="AB13" s="3184">
        <f t="shared" si="28"/>
        <v>9.4999999999999998E-3</v>
      </c>
      <c r="AC13" s="3184">
        <f t="shared" si="28"/>
        <v>6.8999999999999999E-3</v>
      </c>
      <c r="AD13" s="3184">
        <f t="shared" si="7"/>
        <v>1.4E-3</v>
      </c>
    </row>
    <row r="14" spans="1:30" s="3185" customFormat="1" ht="12.75">
      <c r="A14" s="3176" t="s">
        <v>2821</v>
      </c>
      <c r="B14" s="3177">
        <v>2022</v>
      </c>
      <c r="C14" s="3178">
        <v>1</v>
      </c>
      <c r="D14" s="3179">
        <v>0.89</v>
      </c>
      <c r="E14" s="3179">
        <v>0.44</v>
      </c>
      <c r="F14" s="3179">
        <v>0.37</v>
      </c>
      <c r="G14" s="3179">
        <v>0.96</v>
      </c>
      <c r="H14" s="3196">
        <v>0.64</v>
      </c>
      <c r="I14" s="3180">
        <f t="shared" si="4"/>
        <v>0.37</v>
      </c>
      <c r="J14" s="3181"/>
      <c r="K14" s="3182">
        <f t="shared" si="5"/>
        <v>8.8999999999999999E-3</v>
      </c>
      <c r="L14" s="3172">
        <f t="shared" si="5"/>
        <v>4.4000000000000003E-3</v>
      </c>
      <c r="M14" s="3172">
        <f t="shared" si="5"/>
        <v>3.7000000000000002E-3</v>
      </c>
      <c r="N14" s="3172">
        <f t="shared" si="5"/>
        <v>9.5999999999999992E-3</v>
      </c>
      <c r="O14" s="3172">
        <f t="shared" si="5"/>
        <v>6.4000000000000003E-3</v>
      </c>
      <c r="P14" s="3172">
        <f t="shared" si="25"/>
        <v>3.7000000000000002E-3</v>
      </c>
      <c r="Q14" s="3181"/>
      <c r="R14" s="3183">
        <f>ROUND(IF(项目基本情况!$B$8="出让",SUMPRODUCT(PRODUCT(1+K14:$K$18)),SUMPRODUCT(PRODUCT(1+K14:$K$17))),4)</f>
        <v>1.0335000000000001</v>
      </c>
      <c r="S14" s="3183">
        <f>ROUND(IF(项目基本情况!$B$8="出让",SUMPRODUCT(PRODUCT(1+L14:$L$18)),SUMPRODUCT(PRODUCT(1+L14:$L$17))),4)</f>
        <v>1.0182</v>
      </c>
      <c r="T14" s="3183">
        <f>ROUND(IF(项目基本情况!$B$8="出让",SUMPRODUCT(PRODUCT(1+M14:$M$18)),SUMPRODUCT(PRODUCT(1+M14:$M$17))),4)</f>
        <v>1.0108999999999999</v>
      </c>
      <c r="U14" s="3183">
        <f>ROUND(IF(项目基本情况!$B$8="出让",SUMPRODUCT(PRODUCT(1+N14:$N$18)),SUMPRODUCT(PRODUCT(1+N14:$N$17))),4)</f>
        <v>1.0361</v>
      </c>
      <c r="V14" s="3183">
        <f>ROUND(IF(项目基本情况!$B$8="出让",SUMPRODUCT(PRODUCT(1+O14:$O$18)),SUMPRODUCT(PRODUCT(1+O14:$O$17))),4)</f>
        <v>1.0270999999999999</v>
      </c>
      <c r="W14" s="3183">
        <f t="shared" si="24"/>
        <v>1.0108999999999999</v>
      </c>
      <c r="X14" s="3181"/>
      <c r="Y14" s="3184">
        <f>IF(D14=0,0,ROUND(AVERAGE(D14:D18)/100,4))</f>
        <v>8.6E-3</v>
      </c>
      <c r="Z14" s="3184">
        <f t="shared" ref="Z14:AC14" si="29">IF(E14=0,0,ROUND(AVERAGE(E14:E18)/100,4))</f>
        <v>3.8999999999999998E-3</v>
      </c>
      <c r="AA14" s="3184">
        <f t="shared" si="29"/>
        <v>1.6999999999999999E-3</v>
      </c>
      <c r="AB14" s="3184">
        <f t="shared" si="29"/>
        <v>9.2999999999999992E-3</v>
      </c>
      <c r="AC14" s="3184">
        <f t="shared" si="29"/>
        <v>6.1000000000000004E-3</v>
      </c>
      <c r="AD14" s="3184">
        <f t="shared" si="7"/>
        <v>1.6999999999999999E-3</v>
      </c>
    </row>
    <row r="15" spans="1:30" s="3185" customFormat="1" ht="12.75">
      <c r="A15" s="3176" t="s">
        <v>2822</v>
      </c>
      <c r="B15" s="3177">
        <v>2021</v>
      </c>
      <c r="C15" s="3178">
        <v>4</v>
      </c>
      <c r="D15" s="3179">
        <v>1.03</v>
      </c>
      <c r="E15" s="3179">
        <v>0.24</v>
      </c>
      <c r="F15" s="3179">
        <v>7.0000000000000007E-2</v>
      </c>
      <c r="G15" s="3179">
        <v>1.17</v>
      </c>
      <c r="H15" s="3196">
        <v>0.55000000000000004</v>
      </c>
      <c r="I15" s="3180">
        <f t="shared" si="4"/>
        <v>7.0000000000000007E-2</v>
      </c>
      <c r="J15" s="3181"/>
      <c r="K15" s="3182">
        <f t="shared" si="5"/>
        <v>1.03E-2</v>
      </c>
      <c r="L15" s="3172">
        <f t="shared" si="5"/>
        <v>2.3999999999999998E-3</v>
      </c>
      <c r="M15" s="3172">
        <f t="shared" si="5"/>
        <v>7.000000000000001E-4</v>
      </c>
      <c r="N15" s="3172">
        <f t="shared" si="5"/>
        <v>1.1699999999999999E-2</v>
      </c>
      <c r="O15" s="3172">
        <f t="shared" si="5"/>
        <v>5.5000000000000005E-3</v>
      </c>
      <c r="P15" s="3172">
        <f t="shared" si="25"/>
        <v>7.000000000000001E-4</v>
      </c>
      <c r="Q15" s="3181"/>
      <c r="R15" s="3183">
        <f>ROUND(IF(项目基本情况!$B$8="出让",SUMPRODUCT(PRODUCT(1+K15:$K$18)),SUMPRODUCT(PRODUCT(1+K15:$K$17))),4)</f>
        <v>1.0244</v>
      </c>
      <c r="S15" s="3183">
        <f>ROUND(IF(项目基本情况!$B$8="出让",SUMPRODUCT(PRODUCT(1+L15:$L$18)),SUMPRODUCT(PRODUCT(1+L15:$L$17))),4)</f>
        <v>1.0138</v>
      </c>
      <c r="T15" s="3183">
        <f>ROUND(IF(项目基本情况!$B$8="出让",SUMPRODUCT(PRODUCT(1+M15:$M$18)),SUMPRODUCT(PRODUCT(1+M15:$M$17))),4)</f>
        <v>1.0072000000000001</v>
      </c>
      <c r="U15" s="3183">
        <f>ROUND(IF(项目基本情况!$B$8="出让",SUMPRODUCT(PRODUCT(1+N15:$N$18)),SUMPRODUCT(PRODUCT(1+N15:$N$17))),4)</f>
        <v>1.0262</v>
      </c>
      <c r="V15" s="3183">
        <f>ROUND(IF(项目基本情况!$B$8="出让",SUMPRODUCT(PRODUCT(1+O15:$O$18)),SUMPRODUCT(PRODUCT(1+O15:$O$17))),4)</f>
        <v>1.0205</v>
      </c>
      <c r="W15" s="3183">
        <f t="shared" si="24"/>
        <v>1.0072000000000001</v>
      </c>
      <c r="X15" s="3181"/>
      <c r="Y15" s="3184">
        <f>IF(D15=0,0,ROUND(AVERAGE(D15:D18)/100,4))</f>
        <v>8.5000000000000006E-3</v>
      </c>
      <c r="Z15" s="3184">
        <f t="shared" ref="Z15:AC15" si="30">IF(E15=0,0,ROUND(AVERAGE(E15:E18)/100,4))</f>
        <v>3.8E-3</v>
      </c>
      <c r="AA15" s="3184">
        <f t="shared" si="30"/>
        <v>1.1999999999999999E-3</v>
      </c>
      <c r="AB15" s="3184">
        <f t="shared" si="30"/>
        <v>9.2999999999999992E-3</v>
      </c>
      <c r="AC15" s="3184">
        <f t="shared" si="30"/>
        <v>6.0000000000000001E-3</v>
      </c>
      <c r="AD15" s="3184">
        <f t="shared" si="7"/>
        <v>1.1999999999999999E-3</v>
      </c>
    </row>
    <row r="16" spans="1:30" s="3185" customFormat="1" ht="12.75">
      <c r="A16" s="3176" t="s">
        <v>2823</v>
      </c>
      <c r="B16" s="3177">
        <v>2021</v>
      </c>
      <c r="C16" s="3178">
        <v>3</v>
      </c>
      <c r="D16" s="3179">
        <v>0.47</v>
      </c>
      <c r="E16" s="3179">
        <v>0.41</v>
      </c>
      <c r="F16" s="3179">
        <v>0.24</v>
      </c>
      <c r="G16" s="3179">
        <v>0.48</v>
      </c>
      <c r="H16" s="3196">
        <v>0.48</v>
      </c>
      <c r="I16" s="3180">
        <f t="shared" si="4"/>
        <v>0.24</v>
      </c>
      <c r="J16" s="3181"/>
      <c r="K16" s="3182">
        <f t="shared" si="5"/>
        <v>4.6999999999999993E-3</v>
      </c>
      <c r="L16" s="3172">
        <f t="shared" si="5"/>
        <v>4.0999999999999995E-3</v>
      </c>
      <c r="M16" s="3172">
        <f t="shared" si="5"/>
        <v>2.3999999999999998E-3</v>
      </c>
      <c r="N16" s="3172">
        <f t="shared" si="5"/>
        <v>4.7999999999999996E-3</v>
      </c>
      <c r="O16" s="3172">
        <f t="shared" si="5"/>
        <v>4.7999999999999996E-3</v>
      </c>
      <c r="P16" s="3172">
        <f t="shared" si="25"/>
        <v>2.3999999999999998E-3</v>
      </c>
      <c r="Q16" s="3181"/>
      <c r="R16" s="3183">
        <f>ROUND(IF(项目基本情况!$B$8="出让",SUMPRODUCT(PRODUCT(1+K16:$K$18)),SUMPRODUCT(PRODUCT(1+K16:$K$17))),4)</f>
        <v>1.0139</v>
      </c>
      <c r="S16" s="3183">
        <f>ROUND(IF(项目基本情况!$B$8="出让",SUMPRODUCT(PRODUCT(1+L16:$L$18)),SUMPRODUCT(PRODUCT(1+L16:$L$17))),4)</f>
        <v>1.0113000000000001</v>
      </c>
      <c r="T16" s="3183">
        <f>ROUND(IF(项目基本情况!$B$8="出让",SUMPRODUCT(PRODUCT(1+M16:$M$18)),SUMPRODUCT(PRODUCT(1+M16:$M$17))),4)</f>
        <v>1.0065</v>
      </c>
      <c r="U16" s="3183">
        <f>ROUND(IF(项目基本情况!$B$8="出让",SUMPRODUCT(PRODUCT(1+N16:$N$18)),SUMPRODUCT(PRODUCT(1+N16:$N$17))),4)</f>
        <v>1.0143</v>
      </c>
      <c r="V16" s="3183">
        <f>ROUND(IF(项目基本情况!$B$8="出让",SUMPRODUCT(PRODUCT(1+O16:$O$18)),SUMPRODUCT(PRODUCT(1+O16:$O$17))),4)</f>
        <v>1.0148999999999999</v>
      </c>
      <c r="W16" s="3183">
        <f t="shared" si="24"/>
        <v>1.0065</v>
      </c>
      <c r="X16" s="3181"/>
      <c r="Y16" s="3184">
        <f>IF(D16=0,0,ROUND(AVERAGE(D16:D18)/100,4))</f>
        <v>7.9000000000000008E-3</v>
      </c>
      <c r="Z16" s="3184">
        <f>IF(E16=0,0,ROUND(AVERAGE(E16:E18)/100,4))</f>
        <v>4.3E-3</v>
      </c>
      <c r="AA16" s="3184">
        <f>IF(F16=0,0,ROUND(AVERAGE(F16:F18)/100,4))</f>
        <v>1.2999999999999999E-3</v>
      </c>
      <c r="AB16" s="3184">
        <f>IF(G16=0,0,ROUND(AVERAGE(G16:G18)/100,4))</f>
        <v>8.5000000000000006E-3</v>
      </c>
      <c r="AC16" s="3184">
        <f>IF(H16=0,0,ROUND(AVERAGE(H16:H18)/100,4))</f>
        <v>6.1999999999999998E-3</v>
      </c>
      <c r="AD16" s="3184">
        <f t="shared" si="7"/>
        <v>1.2999999999999999E-3</v>
      </c>
    </row>
    <row r="17" spans="1:30" s="3185" customFormat="1" ht="12.75">
      <c r="A17" s="3176" t="s">
        <v>2824</v>
      </c>
      <c r="B17" s="3177">
        <v>2021</v>
      </c>
      <c r="C17" s="3178">
        <v>2</v>
      </c>
      <c r="D17" s="3179">
        <v>0.92</v>
      </c>
      <c r="E17" s="3179">
        <v>0.72</v>
      </c>
      <c r="F17" s="3179">
        <v>0.41</v>
      </c>
      <c r="G17" s="3179">
        <v>0.95</v>
      </c>
      <c r="H17" s="3196">
        <v>1.01</v>
      </c>
      <c r="I17" s="3180">
        <f t="shared" si="4"/>
        <v>0.41</v>
      </c>
      <c r="J17" s="3181"/>
      <c r="K17" s="3182">
        <f t="shared" si="5"/>
        <v>9.1999999999999998E-3</v>
      </c>
      <c r="L17" s="3172">
        <f t="shared" si="5"/>
        <v>7.1999999999999998E-3</v>
      </c>
      <c r="M17" s="3172">
        <f t="shared" si="5"/>
        <v>4.0999999999999995E-3</v>
      </c>
      <c r="N17" s="3172">
        <f t="shared" si="5"/>
        <v>9.4999999999999998E-3</v>
      </c>
      <c r="O17" s="3172">
        <f t="shared" si="5"/>
        <v>1.01E-2</v>
      </c>
      <c r="P17" s="3172">
        <f t="shared" si="25"/>
        <v>4.0999999999999995E-3</v>
      </c>
      <c r="Q17" s="3181"/>
      <c r="R17" s="3183">
        <f>ROUND(IF(项目基本情况!$B$8="出让",SUMPRODUCT(PRODUCT(1+K17:$K$18)),SUMPRODUCT(PRODUCT(1+K17:$K$17))),4)</f>
        <v>1.0092000000000001</v>
      </c>
      <c r="S17" s="3183">
        <f>ROUND(IF(项目基本情况!$B$8="出让",SUMPRODUCT(PRODUCT(1+L17:$L$18)),SUMPRODUCT(PRODUCT(1+L17:$L$17))),4)</f>
        <v>1.0072000000000001</v>
      </c>
      <c r="T17" s="3183">
        <f>ROUND(IF(项目基本情况!$B$8="出让",SUMPRODUCT(PRODUCT(1+M17:$M$18)),SUMPRODUCT(PRODUCT(1+M17:$M$17))),4)</f>
        <v>1.0041</v>
      </c>
      <c r="U17" s="3183">
        <f>ROUND(IF(项目基本情况!$B$8="出让",SUMPRODUCT(PRODUCT(1+N17:$N$18)),SUMPRODUCT(PRODUCT(1+N17:$N$17))),4)</f>
        <v>1.0095000000000001</v>
      </c>
      <c r="V17" s="3183">
        <f>ROUND(IF(项目基本情况!$B$8="出让",SUMPRODUCT(PRODUCT(1+O17:$O$18)),SUMPRODUCT(PRODUCT(1+O17:$O$17))),4)</f>
        <v>1.0101</v>
      </c>
      <c r="W17" s="3183">
        <f t="shared" si="24"/>
        <v>1.0041</v>
      </c>
      <c r="X17" s="3181"/>
      <c r="Y17" s="3184">
        <f>IF(D17=0,0,ROUND(AVERAGE(D17:D18)/100,4))</f>
        <v>9.4999999999999998E-3</v>
      </c>
      <c r="Z17" s="3184">
        <f>IF(E17=0,0,ROUND(AVERAGE(E17:E18)/100,4))</f>
        <v>4.4000000000000003E-3</v>
      </c>
      <c r="AA17" s="3184">
        <f>IF(F17=0,0,ROUND(AVERAGE(F17:F18)/100,4))</f>
        <v>8.0000000000000004E-4</v>
      </c>
      <c r="AB17" s="3184">
        <f>IF(G17=0,0,ROUND(AVERAGE(G17:G18)/100,4))</f>
        <v>1.03E-2</v>
      </c>
      <c r="AC17" s="3184">
        <f>IF(H17=0,0,ROUND(AVERAGE(H17:H18)/100,4))</f>
        <v>6.8999999999999999E-3</v>
      </c>
      <c r="AD17" s="3184">
        <f t="shared" si="7"/>
        <v>8.0000000000000004E-4</v>
      </c>
    </row>
    <row r="18" spans="1:30" s="3207" customFormat="1" thickBot="1">
      <c r="A18" s="3197" t="s">
        <v>2825</v>
      </c>
      <c r="B18" s="3198">
        <v>2021</v>
      </c>
      <c r="C18" s="3199">
        <v>1</v>
      </c>
      <c r="D18" s="3200">
        <v>0.97</v>
      </c>
      <c r="E18" s="3200">
        <v>0.16</v>
      </c>
      <c r="F18" s="3200">
        <v>-0.25</v>
      </c>
      <c r="G18" s="3200">
        <v>1.1100000000000001</v>
      </c>
      <c r="H18" s="3201">
        <v>0.36</v>
      </c>
      <c r="I18" s="3202">
        <f t="shared" si="4"/>
        <v>-0.25</v>
      </c>
      <c r="J18" s="3203"/>
      <c r="K18" s="3204">
        <f t="shared" si="5"/>
        <v>9.7000000000000003E-3</v>
      </c>
      <c r="L18" s="3205">
        <f t="shared" si="5"/>
        <v>1.6000000000000001E-3</v>
      </c>
      <c r="M18" s="3205">
        <f>F18/100</f>
        <v>-2.5000000000000001E-3</v>
      </c>
      <c r="N18" s="3205">
        <f t="shared" si="5"/>
        <v>1.11E-2</v>
      </c>
      <c r="O18" s="3205">
        <f t="shared" si="5"/>
        <v>3.5999999999999999E-3</v>
      </c>
      <c r="P18" s="3205">
        <f t="shared" si="25"/>
        <v>-2.5000000000000001E-3</v>
      </c>
      <c r="Q18" s="3203"/>
      <c r="R18" s="3206">
        <v>1</v>
      </c>
      <c r="S18" s="3206">
        <v>1</v>
      </c>
      <c r="T18" s="3206">
        <v>1</v>
      </c>
      <c r="U18" s="3206">
        <v>1</v>
      </c>
      <c r="V18" s="3206">
        <v>1</v>
      </c>
      <c r="W18" s="3206">
        <f t="shared" ref="W18" si="31">T18</f>
        <v>1</v>
      </c>
      <c r="X18" s="3203"/>
      <c r="Y18" s="3205">
        <f>IF(D18=0,0,ROUND(AVERAGE(D18:D18)/100,4))</f>
        <v>9.7000000000000003E-3</v>
      </c>
      <c r="Z18" s="3205">
        <f>IF(E18=0,0,ROUND(AVERAGE(E18:E18)/100,4))</f>
        <v>1.6000000000000001E-3</v>
      </c>
      <c r="AA18" s="3205">
        <f>IF(F18=0,0,ROUND(AVERAGE(F18:F18)/100,4))</f>
        <v>-2.5000000000000001E-3</v>
      </c>
      <c r="AB18" s="3205">
        <f>IF(G18=0,0,ROUND(AVERAGE(G18:G18)/100,4))</f>
        <v>1.11E-2</v>
      </c>
      <c r="AC18" s="3205">
        <f>IF(H18=0,0,ROUND(AVERAGE(H18:H18)/100,4))</f>
        <v>3.5999999999999999E-3</v>
      </c>
      <c r="AD18" s="3205">
        <f>AA18</f>
        <v>-2.5000000000000001E-3</v>
      </c>
    </row>
    <row r="19" spans="1:30" s="3009" customFormat="1" ht="14.25" thickTop="1"/>
    <row r="20" spans="1:30" s="3009" customFormat="1">
      <c r="A20" s="3448" t="s">
        <v>3367</v>
      </c>
    </row>
    <row r="21" spans="1:30" s="3009" customFormat="1">
      <c r="I21" s="3208" t="s">
        <v>2826</v>
      </c>
    </row>
    <row r="22" spans="1:30" s="3009" customFormat="1"/>
    <row r="23" spans="1:30" s="3209" customFormat="1" ht="12.75">
      <c r="B23" s="3210" t="s">
        <v>3373</v>
      </c>
      <c r="C23" s="3211"/>
      <c r="D23" s="3211"/>
      <c r="E23" s="3211"/>
      <c r="F23" s="3211"/>
      <c r="G23" s="3211"/>
      <c r="H23" s="3211"/>
      <c r="I23" s="3211"/>
      <c r="J23" s="3165"/>
      <c r="K23" s="3211" t="s">
        <v>2827</v>
      </c>
      <c r="L23" s="3211"/>
      <c r="M23" s="3211"/>
      <c r="N23" s="3211"/>
      <c r="O23" s="3211"/>
      <c r="P23" s="3211"/>
      <c r="Q23" s="3165"/>
      <c r="R23" s="3995" t="s">
        <v>2828</v>
      </c>
      <c r="S23" s="3996"/>
      <c r="T23" s="3996"/>
      <c r="U23" s="3996"/>
      <c r="V23" s="3996"/>
      <c r="W23" s="3996"/>
      <c r="X23" s="3165"/>
      <c r="Y23" s="3995" t="s">
        <v>2829</v>
      </c>
      <c r="Z23" s="3996"/>
      <c r="AA23" s="3996"/>
      <c r="AB23" s="3996"/>
      <c r="AC23" s="3996"/>
      <c r="AD23" s="3996"/>
    </row>
    <row r="24" spans="1:30" s="3143" customFormat="1" ht="14.25" thickBot="1">
      <c r="B24" s="3144"/>
      <c r="C24" s="3145"/>
      <c r="D24" s="3146" t="s">
        <v>2830</v>
      </c>
      <c r="E24" s="3147" t="s">
        <v>2831</v>
      </c>
      <c r="F24" s="3147" t="s">
        <v>2832</v>
      </c>
      <c r="G24" s="3147" t="s">
        <v>2833</v>
      </c>
      <c r="H24" s="3147"/>
      <c r="I24" s="3147" t="s">
        <v>2834</v>
      </c>
      <c r="J24" s="3148"/>
      <c r="K24" s="3146" t="s">
        <v>2830</v>
      </c>
      <c r="L24" s="3147" t="s">
        <v>2831</v>
      </c>
      <c r="M24" s="3147" t="s">
        <v>2832</v>
      </c>
      <c r="N24" s="3147" t="s">
        <v>2833</v>
      </c>
      <c r="O24" s="3147"/>
      <c r="P24" s="3147" t="s">
        <v>2834</v>
      </c>
      <c r="Q24" s="3148"/>
      <c r="R24" s="3146" t="s">
        <v>2830</v>
      </c>
      <c r="S24" s="3147" t="s">
        <v>2831</v>
      </c>
      <c r="T24" s="3147" t="s">
        <v>2832</v>
      </c>
      <c r="U24" s="3147" t="s">
        <v>2833</v>
      </c>
      <c r="V24" s="3147"/>
      <c r="W24" s="3147" t="s">
        <v>2834</v>
      </c>
      <c r="X24" s="3148"/>
      <c r="Y24" s="3146" t="s">
        <v>2830</v>
      </c>
      <c r="Z24" s="3147" t="s">
        <v>2831</v>
      </c>
      <c r="AA24" s="3147" t="s">
        <v>2832</v>
      </c>
      <c r="AB24" s="3147" t="s">
        <v>2833</v>
      </c>
      <c r="AC24" s="3147"/>
      <c r="AD24" s="3147" t="s">
        <v>2834</v>
      </c>
    </row>
    <row r="25" spans="1:30" s="3161" customFormat="1" ht="12.75">
      <c r="A25" s="3149" t="s">
        <v>2835</v>
      </c>
      <c r="B25" s="3150"/>
      <c r="C25" s="3151"/>
      <c r="D25" s="3151"/>
      <c r="E25" s="3151">
        <f t="shared" ref="E25:G25" si="32">ROUND(AVERAGEIF(E26:E40,"&lt;&gt;0"),2)</f>
        <v>0.39</v>
      </c>
      <c r="F25" s="3151">
        <f t="shared" si="32"/>
        <v>0.28000000000000003</v>
      </c>
      <c r="G25" s="3151">
        <f t="shared" si="32"/>
        <v>0.67</v>
      </c>
      <c r="H25" s="3151"/>
      <c r="I25" s="3151">
        <f>F25</f>
        <v>0.28000000000000003</v>
      </c>
      <c r="J25" s="3152"/>
      <c r="K25" s="3153"/>
      <c r="L25" s="3154">
        <f t="shared" ref="L25:N25" si="33">ROUND(AVERAGEIF(L26:L40,"&lt;&gt;0"),4)</f>
        <v>3.8999999999999998E-3</v>
      </c>
      <c r="M25" s="3154">
        <f t="shared" si="33"/>
        <v>2.8E-3</v>
      </c>
      <c r="N25" s="3154">
        <f t="shared" si="33"/>
        <v>6.7000000000000002E-3</v>
      </c>
      <c r="O25" s="3154"/>
      <c r="P25" s="3154">
        <f>M25</f>
        <v>2.8E-3</v>
      </c>
      <c r="Q25" s="3152"/>
      <c r="R25" s="3155"/>
      <c r="S25" s="3156">
        <f>ROUND(SUMPRODUCT(PRODUCT(1+L26:L40)),4)</f>
        <v>1.0476000000000001</v>
      </c>
      <c r="T25" s="3156">
        <f t="shared" ref="T25:U25" si="34">ROUND(SUMPRODUCT(PRODUCT(1+M26:M40)),4)</f>
        <v>1.0346</v>
      </c>
      <c r="U25" s="3156">
        <f t="shared" si="34"/>
        <v>1.0831999999999999</v>
      </c>
      <c r="V25" s="3156"/>
      <c r="W25" s="3155">
        <f>T25</f>
        <v>1.0346</v>
      </c>
      <c r="X25" s="3152"/>
      <c r="Y25" s="3157"/>
      <c r="Z25" s="3158">
        <f t="shared" ref="Z25:AB25" si="35">ROUND(AVERAGEIF(Z26:Z40,"&lt;&gt;0"),4)</f>
        <v>4.3E-3</v>
      </c>
      <c r="AA25" s="3159">
        <f t="shared" si="35"/>
        <v>3.5999999999999999E-3</v>
      </c>
      <c r="AB25" s="3157">
        <f t="shared" si="35"/>
        <v>8.8999999999999999E-3</v>
      </c>
      <c r="AC25" s="3160"/>
      <c r="AD25" s="3157">
        <f>AA25</f>
        <v>3.5999999999999999E-3</v>
      </c>
    </row>
    <row r="26" spans="1:30" s="3162" customFormat="1" ht="12.75">
      <c r="B26" s="3163"/>
      <c r="C26" s="3164"/>
      <c r="D26" s="3164"/>
      <c r="E26" s="3164"/>
      <c r="F26" s="3164"/>
      <c r="G26" s="3164"/>
      <c r="H26" s="3164"/>
      <c r="I26" s="3164"/>
      <c r="J26" s="3165"/>
      <c r="K26" s="3166"/>
      <c r="L26" s="3167"/>
      <c r="M26" s="3167"/>
      <c r="N26" s="3167"/>
      <c r="O26" s="3167"/>
      <c r="P26" s="3167"/>
      <c r="Q26" s="3165"/>
      <c r="R26" s="3168"/>
      <c r="S26" s="3169"/>
      <c r="T26" s="3170"/>
      <c r="U26" s="3168"/>
      <c r="V26" s="3171"/>
      <c r="W26" s="3168"/>
      <c r="X26" s="3165"/>
      <c r="Y26" s="3172"/>
      <c r="Z26" s="3173"/>
      <c r="AA26" s="3174"/>
      <c r="AB26" s="3172"/>
      <c r="AC26" s="3175"/>
      <c r="AD26" s="3172"/>
    </row>
    <row r="27" spans="1:30" s="3185" customFormat="1" ht="12.75">
      <c r="A27" s="2205" t="s">
        <v>3375</v>
      </c>
      <c r="B27" s="3177">
        <v>2024</v>
      </c>
      <c r="C27" s="3178">
        <v>2</v>
      </c>
      <c r="D27" s="3179"/>
      <c r="E27" s="3179">
        <v>0</v>
      </c>
      <c r="F27" s="3179">
        <v>0</v>
      </c>
      <c r="G27" s="3179">
        <v>0</v>
      </c>
      <c r="H27" s="3179"/>
      <c r="I27" s="3180">
        <f t="shared" ref="I27:I40" si="36">F27</f>
        <v>0</v>
      </c>
      <c r="J27" s="3181"/>
      <c r="K27" s="3182"/>
      <c r="L27" s="3172">
        <f t="shared" ref="L27:N40" si="37">E27/100</f>
        <v>0</v>
      </c>
      <c r="M27" s="3172">
        <f t="shared" si="37"/>
        <v>0</v>
      </c>
      <c r="N27" s="3172">
        <f t="shared" si="37"/>
        <v>0</v>
      </c>
      <c r="O27" s="3172"/>
      <c r="P27" s="3172">
        <f>M27</f>
        <v>0</v>
      </c>
      <c r="Q27" s="3181"/>
      <c r="R27" s="3183"/>
      <c r="S27" s="3183">
        <f>ROUND(IF(项目基本情况!$B$8="出让",SUMPRODUCT(PRODUCT(1+L27:L$40)),SUMPRODUCT(PRODUCT(1+L27:L$39))),4)</f>
        <v>1.0439000000000001</v>
      </c>
      <c r="T27" s="3183">
        <f>ROUND(IF(项目基本情况!$B$8="出让",SUMPRODUCT(PRODUCT(1+M27:M$40)),SUMPRODUCT(PRODUCT(1+M27:M$39))),4)</f>
        <v>1.0297000000000001</v>
      </c>
      <c r="U27" s="3183">
        <f>ROUND(IF(项目基本情况!$B$8="出让",SUMPRODUCT(PRODUCT(1+N27:N$40)),SUMPRODUCT(PRODUCT(1+N27:N$39))),4)</f>
        <v>1.0727</v>
      </c>
      <c r="V27" s="3183"/>
      <c r="W27" s="3183">
        <f>T27</f>
        <v>1.0297000000000001</v>
      </c>
      <c r="X27" s="3181"/>
      <c r="Y27" s="3184"/>
      <c r="Z27" s="3212">
        <f>IF(E27=0,0,ROUND(AVERAGE(E27:E40)/100,4))</f>
        <v>0</v>
      </c>
      <c r="AA27" s="3212">
        <f>IF(F27=0,0,ROUND(AVERAGE(F27:F40)/100,4))</f>
        <v>0</v>
      </c>
      <c r="AB27" s="3212">
        <f>IF(G27=0,0,ROUND(AVERAGE(G27:G40)/100,4))</f>
        <v>0</v>
      </c>
      <c r="AC27" s="3213"/>
      <c r="AD27" s="3184">
        <f>IF(I27=0,0,ROUND(AVERAGE(I27:I40)/100,4))</f>
        <v>0</v>
      </c>
    </row>
    <row r="28" spans="1:30" s="3185" customFormat="1" ht="12.75">
      <c r="A28" s="2205" t="s">
        <v>3376</v>
      </c>
      <c r="B28" s="3177">
        <v>2024</v>
      </c>
      <c r="C28" s="3178">
        <v>1</v>
      </c>
      <c r="D28" s="3179"/>
      <c r="E28" s="3179">
        <v>0</v>
      </c>
      <c r="F28" s="3179">
        <v>0</v>
      </c>
      <c r="G28" s="3179">
        <v>0</v>
      </c>
      <c r="H28" s="3179"/>
      <c r="I28" s="3180">
        <f t="shared" ref="I28:I29" si="38">F28</f>
        <v>0</v>
      </c>
      <c r="J28" s="3181"/>
      <c r="K28" s="3182"/>
      <c r="L28" s="3172">
        <f t="shared" ref="L28" si="39">E28/100</f>
        <v>0</v>
      </c>
      <c r="M28" s="3172">
        <f t="shared" ref="M28" si="40">F28/100</f>
        <v>0</v>
      </c>
      <c r="N28" s="3172">
        <f t="shared" ref="N28" si="41">G28/100</f>
        <v>0</v>
      </c>
      <c r="O28" s="3172"/>
      <c r="P28" s="3172">
        <f t="shared" ref="P28" si="42">M28</f>
        <v>0</v>
      </c>
      <c r="Q28" s="3181"/>
      <c r="R28" s="3183"/>
      <c r="S28" s="3183">
        <f>ROUND(IF(项目基本情况!$B$8="出让",SUMPRODUCT(PRODUCT(1+L28:L$40)),SUMPRODUCT(PRODUCT(1+L28:L$39))),4)</f>
        <v>1.0439000000000001</v>
      </c>
      <c r="T28" s="3183">
        <f>ROUND(IF(项目基本情况!$B$8="出让",SUMPRODUCT(PRODUCT(1+M28:M$40)),SUMPRODUCT(PRODUCT(1+M28:M$39))),4)</f>
        <v>1.0297000000000001</v>
      </c>
      <c r="U28" s="3183">
        <f>ROUND(IF(项目基本情况!$B$8="出让",SUMPRODUCT(PRODUCT(1+N28:N$40)),SUMPRODUCT(PRODUCT(1+N28:N$39))),4)</f>
        <v>1.0727</v>
      </c>
      <c r="V28" s="3183"/>
      <c r="W28" s="3183">
        <f t="shared" ref="W28" si="43">T28</f>
        <v>1.0297000000000001</v>
      </c>
      <c r="X28" s="3181"/>
      <c r="Y28" s="3184"/>
      <c r="Z28" s="3212"/>
      <c r="AA28" s="3214"/>
      <c r="AB28" s="3184"/>
      <c r="AC28" s="3213"/>
      <c r="AD28" s="3184"/>
    </row>
    <row r="29" spans="1:30" s="3195" customFormat="1" ht="12.75">
      <c r="A29" s="3186" t="s">
        <v>3380</v>
      </c>
      <c r="B29" s="3187">
        <v>2023</v>
      </c>
      <c r="C29" s="3188">
        <v>4</v>
      </c>
      <c r="D29" s="3189"/>
      <c r="E29" s="3189">
        <v>7.0000000000000007E-2</v>
      </c>
      <c r="F29" s="3189">
        <v>0.09</v>
      </c>
      <c r="G29" s="3189">
        <v>0.03</v>
      </c>
      <c r="H29" s="3190"/>
      <c r="I29" s="3191">
        <f t="shared" si="38"/>
        <v>0.09</v>
      </c>
      <c r="J29" s="3192"/>
      <c r="K29" s="3193"/>
      <c r="L29" s="3194">
        <f t="shared" si="37"/>
        <v>7.000000000000001E-4</v>
      </c>
      <c r="M29" s="3194">
        <f t="shared" si="37"/>
        <v>8.9999999999999998E-4</v>
      </c>
      <c r="N29" s="3194">
        <f t="shared" si="37"/>
        <v>2.9999999999999997E-4</v>
      </c>
      <c r="O29" s="3194"/>
      <c r="P29" s="3194">
        <f t="shared" ref="P29" si="44">M29</f>
        <v>8.9999999999999998E-4</v>
      </c>
      <c r="Q29" s="3192"/>
      <c r="R29" s="3192"/>
      <c r="S29" s="3192">
        <f>ROUND(IF(项目基本情况!$B$8="出让",SUMPRODUCT(PRODUCT(1+L29:L$40)),SUMPRODUCT(PRODUCT(1+L29:L$39))),4)</f>
        <v>1.0439000000000001</v>
      </c>
      <c r="T29" s="3192">
        <f>ROUND(IF(项目基本情况!$B$8="出让",SUMPRODUCT(PRODUCT(1+M29:M$40)),SUMPRODUCT(PRODUCT(1+M29:M$39))),4)</f>
        <v>1.0297000000000001</v>
      </c>
      <c r="U29" s="3192">
        <f>ROUND(IF(项目基本情况!$B$8="出让",SUMPRODUCT(PRODUCT(1+N29:N$40)),SUMPRODUCT(PRODUCT(1+N29:N$39))),4)</f>
        <v>1.0727</v>
      </c>
      <c r="V29" s="3192"/>
      <c r="W29" s="3192">
        <f t="shared" ref="W29" si="45">T29</f>
        <v>1.0297000000000001</v>
      </c>
      <c r="X29" s="3192"/>
      <c r="Y29" s="3194"/>
      <c r="Z29" s="3215"/>
      <c r="AA29" s="3216"/>
      <c r="AB29" s="3194"/>
      <c r="AC29" s="3217"/>
      <c r="AD29" s="3194"/>
    </row>
    <row r="30" spans="1:30" s="3185" customFormat="1" ht="12.75">
      <c r="A30" s="3176" t="s">
        <v>3379</v>
      </c>
      <c r="B30" s="3177">
        <v>2023</v>
      </c>
      <c r="C30" s="3178">
        <v>3</v>
      </c>
      <c r="D30" s="3179"/>
      <c r="E30" s="3179">
        <v>0.35</v>
      </c>
      <c r="F30" s="3179">
        <v>0.17</v>
      </c>
      <c r="G30" s="3179">
        <v>0.52</v>
      </c>
      <c r="H30" s="3196"/>
      <c r="I30" s="3180">
        <f t="shared" si="36"/>
        <v>0.17</v>
      </c>
      <c r="J30" s="3181"/>
      <c r="K30" s="3182"/>
      <c r="L30" s="3172">
        <f t="shared" ref="L30:L32" si="46">E30/100</f>
        <v>3.4999999999999996E-3</v>
      </c>
      <c r="M30" s="3172">
        <f t="shared" ref="M30:M32" si="47">F30/100</f>
        <v>1.7000000000000001E-3</v>
      </c>
      <c r="N30" s="3172">
        <f t="shared" ref="N30:N32" si="48">G30/100</f>
        <v>5.1999999999999998E-3</v>
      </c>
      <c r="O30" s="3172"/>
      <c r="P30" s="3172">
        <f t="shared" ref="P30:P32" si="49">M30</f>
        <v>1.7000000000000001E-3</v>
      </c>
      <c r="Q30" s="3181"/>
      <c r="R30" s="3183"/>
      <c r="S30" s="3183">
        <f>ROUND(IF(项目基本情况!$B$8="出让",SUMPRODUCT(PRODUCT(1+L30:L$40)),SUMPRODUCT(PRODUCT(1+L30:L$39))),4)</f>
        <v>1.0431999999999999</v>
      </c>
      <c r="T30" s="3183">
        <f>ROUND(IF(项目基本情况!$B$8="出让",SUMPRODUCT(PRODUCT(1+M30:M$40)),SUMPRODUCT(PRODUCT(1+M30:M$39))),4)</f>
        <v>1.0286999999999999</v>
      </c>
      <c r="U30" s="3183">
        <f>ROUND(IF(项目基本情况!$B$8="出让",SUMPRODUCT(PRODUCT(1+N30:N$40)),SUMPRODUCT(PRODUCT(1+N30:N$39))),4)</f>
        <v>1.0723</v>
      </c>
      <c r="V30" s="3183"/>
      <c r="W30" s="3183">
        <f t="shared" ref="W30:W32" si="50">T30</f>
        <v>1.0286999999999999</v>
      </c>
      <c r="X30" s="3181"/>
      <c r="Y30" s="3184"/>
      <c r="Z30" s="3212"/>
      <c r="AA30" s="3214"/>
      <c r="AB30" s="3184"/>
      <c r="AC30" s="3213"/>
      <c r="AD30" s="3184"/>
    </row>
    <row r="31" spans="1:30" s="3185" customFormat="1" ht="12.75">
      <c r="A31" s="3176" t="s">
        <v>3374</v>
      </c>
      <c r="B31" s="3177">
        <v>2023</v>
      </c>
      <c r="C31" s="3178">
        <v>2</v>
      </c>
      <c r="D31" s="3179"/>
      <c r="E31" s="3179">
        <v>0.5</v>
      </c>
      <c r="F31" s="3179">
        <v>0.45</v>
      </c>
      <c r="G31" s="3179">
        <v>0.89</v>
      </c>
      <c r="H31" s="3196"/>
      <c r="I31" s="3180">
        <f t="shared" si="36"/>
        <v>0.45</v>
      </c>
      <c r="J31" s="3181"/>
      <c r="K31" s="3182"/>
      <c r="L31" s="3172">
        <f t="shared" si="46"/>
        <v>5.0000000000000001E-3</v>
      </c>
      <c r="M31" s="3172">
        <f t="shared" si="47"/>
        <v>4.5000000000000005E-3</v>
      </c>
      <c r="N31" s="3172">
        <f t="shared" si="48"/>
        <v>8.8999999999999999E-3</v>
      </c>
      <c r="O31" s="3172"/>
      <c r="P31" s="3172">
        <f t="shared" si="49"/>
        <v>4.5000000000000005E-3</v>
      </c>
      <c r="Q31" s="3181"/>
      <c r="R31" s="3183"/>
      <c r="S31" s="3183">
        <f>ROUND(IF(项目基本情况!$B$8="出让",SUMPRODUCT(PRODUCT(1+L31:L$40)),SUMPRODUCT(PRODUCT(1+L31:L$39))),4)</f>
        <v>1.0396000000000001</v>
      </c>
      <c r="T31" s="3183">
        <f>ROUND(IF(项目基本情况!$B$8="出让",SUMPRODUCT(PRODUCT(1+M31:M$40)),SUMPRODUCT(PRODUCT(1+M31:M$39))),4)</f>
        <v>1.0269999999999999</v>
      </c>
      <c r="U31" s="3183">
        <f>ROUND(IF(项目基本情况!$B$8="出让",SUMPRODUCT(PRODUCT(1+N31:N$40)),SUMPRODUCT(PRODUCT(1+N31:N$39))),4)</f>
        <v>1.0668</v>
      </c>
      <c r="V31" s="3183"/>
      <c r="W31" s="3183">
        <f t="shared" si="50"/>
        <v>1.0269999999999999</v>
      </c>
      <c r="X31" s="3181"/>
      <c r="Y31" s="3184"/>
      <c r="Z31" s="3212"/>
      <c r="AA31" s="3214"/>
      <c r="AB31" s="3184"/>
      <c r="AC31" s="3213"/>
      <c r="AD31" s="3184"/>
    </row>
    <row r="32" spans="1:30" s="3185" customFormat="1" ht="12.75">
      <c r="A32" s="3176" t="s">
        <v>3370</v>
      </c>
      <c r="B32" s="3177">
        <v>2023</v>
      </c>
      <c r="C32" s="3178">
        <v>1</v>
      </c>
      <c r="D32" s="3179"/>
      <c r="E32" s="3179">
        <v>0.55000000000000004</v>
      </c>
      <c r="F32" s="3179">
        <v>0.59</v>
      </c>
      <c r="G32" s="3179">
        <v>0.64</v>
      </c>
      <c r="H32" s="3196"/>
      <c r="I32" s="3180">
        <f t="shared" si="36"/>
        <v>0.59</v>
      </c>
      <c r="J32" s="3181"/>
      <c r="K32" s="3182"/>
      <c r="L32" s="3172">
        <f t="shared" si="46"/>
        <v>5.5000000000000005E-3</v>
      </c>
      <c r="M32" s="3172">
        <f t="shared" si="47"/>
        <v>5.8999999999999999E-3</v>
      </c>
      <c r="N32" s="3172">
        <f t="shared" si="48"/>
        <v>6.4000000000000003E-3</v>
      </c>
      <c r="O32" s="3172"/>
      <c r="P32" s="3172">
        <f t="shared" si="49"/>
        <v>5.8999999999999999E-3</v>
      </c>
      <c r="Q32" s="3181"/>
      <c r="R32" s="3183"/>
      <c r="S32" s="3183">
        <f>ROUND(IF(项目基本情况!$B$8="出让",SUMPRODUCT(PRODUCT(1+L32:L$40)),SUMPRODUCT(PRODUCT(1+L32:L$39))),4)</f>
        <v>1.0344</v>
      </c>
      <c r="T32" s="3183">
        <f>ROUND(IF(项目基本情况!$B$8="出让",SUMPRODUCT(PRODUCT(1+M32:M$40)),SUMPRODUCT(PRODUCT(1+M32:M$39))),4)</f>
        <v>1.0224</v>
      </c>
      <c r="U32" s="3183">
        <f>ROUND(IF(项目基本情况!$B$8="出让",SUMPRODUCT(PRODUCT(1+N32:N$40)),SUMPRODUCT(PRODUCT(1+N32:N$39))),4)</f>
        <v>1.0573999999999999</v>
      </c>
      <c r="V32" s="3183"/>
      <c r="W32" s="3183">
        <f t="shared" si="50"/>
        <v>1.0224</v>
      </c>
      <c r="X32" s="3181"/>
      <c r="Y32" s="3184"/>
      <c r="Z32" s="3212"/>
      <c r="AA32" s="3214"/>
      <c r="AB32" s="3184"/>
      <c r="AC32" s="3213"/>
      <c r="AD32" s="3184"/>
    </row>
    <row r="33" spans="1:30" s="3185" customFormat="1" ht="12.75">
      <c r="A33" s="3176" t="s">
        <v>3369</v>
      </c>
      <c r="B33" s="3177">
        <v>2022</v>
      </c>
      <c r="C33" s="3178">
        <v>4</v>
      </c>
      <c r="D33" s="3179"/>
      <c r="E33" s="3179">
        <v>0.45</v>
      </c>
      <c r="F33" s="3179">
        <v>0.2</v>
      </c>
      <c r="G33" s="3179">
        <v>0.38</v>
      </c>
      <c r="H33" s="3196"/>
      <c r="I33" s="3180">
        <f t="shared" si="36"/>
        <v>0.2</v>
      </c>
      <c r="J33" s="3181"/>
      <c r="K33" s="3182"/>
      <c r="L33" s="3172">
        <f t="shared" si="37"/>
        <v>4.5000000000000005E-3</v>
      </c>
      <c r="M33" s="3172">
        <f t="shared" si="37"/>
        <v>2E-3</v>
      </c>
      <c r="N33" s="3172">
        <f t="shared" si="37"/>
        <v>3.8E-3</v>
      </c>
      <c r="O33" s="3172"/>
      <c r="P33" s="3172">
        <f t="shared" ref="P33:P40" si="51">M33</f>
        <v>2E-3</v>
      </c>
      <c r="Q33" s="3181"/>
      <c r="R33" s="3183"/>
      <c r="S33" s="3183">
        <f>ROUND(IF(项目基本情况!$B$8="出让",SUMPRODUCT(PRODUCT(1+L33:L$40)),SUMPRODUCT(PRODUCT(1+L33:L$39))),4)</f>
        <v>1.0286999999999999</v>
      </c>
      <c r="T33" s="3183">
        <f>ROUND(IF(项目基本情况!$B$8="出让",SUMPRODUCT(PRODUCT(1+M33:M$40)),SUMPRODUCT(PRODUCT(1+M33:M$39))),4)</f>
        <v>1.0164</v>
      </c>
      <c r="U33" s="3183">
        <f>ROUND(IF(项目基本情况!$B$8="出让",SUMPRODUCT(PRODUCT(1+N33:N$40)),SUMPRODUCT(PRODUCT(1+N33:N$39))),4)</f>
        <v>1.0506</v>
      </c>
      <c r="V33" s="3183"/>
      <c r="W33" s="3183">
        <f t="shared" ref="W33:W40" si="52">T33</f>
        <v>1.0164</v>
      </c>
      <c r="X33" s="3181"/>
      <c r="Y33" s="3184"/>
      <c r="Z33" s="3212">
        <f t="shared" ref="Z33:AD40" si="53">IF(E33=0,0,ROUND(AVERAGE(E33:E41)/100,4))</f>
        <v>4.0000000000000001E-3</v>
      </c>
      <c r="AA33" s="3214">
        <f t="shared" si="53"/>
        <v>2.5999999999999999E-3</v>
      </c>
      <c r="AB33" s="3184">
        <f t="shared" si="53"/>
        <v>7.4000000000000003E-3</v>
      </c>
      <c r="AC33" s="3213"/>
      <c r="AD33" s="3184">
        <f t="shared" si="53"/>
        <v>2.5999999999999999E-3</v>
      </c>
    </row>
    <row r="34" spans="1:30" s="3185" customFormat="1" ht="12.75">
      <c r="A34" s="3176" t="s">
        <v>3366</v>
      </c>
      <c r="B34" s="3177">
        <v>2022</v>
      </c>
      <c r="C34" s="3178">
        <v>3</v>
      </c>
      <c r="D34" s="3179"/>
      <c r="E34" s="3179">
        <v>0.3</v>
      </c>
      <c r="F34" s="3179">
        <v>0.28999999999999998</v>
      </c>
      <c r="G34" s="3179">
        <v>0.83</v>
      </c>
      <c r="H34" s="3196"/>
      <c r="I34" s="3180">
        <f t="shared" si="36"/>
        <v>0.28999999999999998</v>
      </c>
      <c r="J34" s="3181"/>
      <c r="K34" s="3182"/>
      <c r="L34" s="3172">
        <f t="shared" si="37"/>
        <v>3.0000000000000001E-3</v>
      </c>
      <c r="M34" s="3172">
        <f t="shared" si="37"/>
        <v>2.8999999999999998E-3</v>
      </c>
      <c r="N34" s="3172">
        <f t="shared" si="37"/>
        <v>8.3000000000000001E-3</v>
      </c>
      <c r="O34" s="3172"/>
      <c r="P34" s="3172">
        <f t="shared" si="51"/>
        <v>2.8999999999999998E-3</v>
      </c>
      <c r="Q34" s="3181"/>
      <c r="R34" s="3183"/>
      <c r="S34" s="3183">
        <f>ROUND(IF(项目基本情况!$B$8="出让",SUMPRODUCT(PRODUCT(1+L34:L$40)),SUMPRODUCT(PRODUCT(1+L34:L$39))),4)</f>
        <v>1.0241</v>
      </c>
      <c r="T34" s="3183">
        <f>ROUND(IF(项目基本情况!$B$8="出让",SUMPRODUCT(PRODUCT(1+M34:M$40)),SUMPRODUCT(PRODUCT(1+M34:M$39))),4)</f>
        <v>1.0144</v>
      </c>
      <c r="U34" s="3183">
        <f>ROUND(IF(项目基本情况!$B$8="出让",SUMPRODUCT(PRODUCT(1+N34:N$40)),SUMPRODUCT(PRODUCT(1+N34:N$39))),4)</f>
        <v>1.0467</v>
      </c>
      <c r="V34" s="3183"/>
      <c r="W34" s="3183">
        <f t="shared" si="52"/>
        <v>1.0144</v>
      </c>
      <c r="X34" s="3181"/>
      <c r="Y34" s="3184"/>
      <c r="Z34" s="3212">
        <f t="shared" si="53"/>
        <v>3.8999999999999998E-3</v>
      </c>
      <c r="AA34" s="3214">
        <f t="shared" si="53"/>
        <v>2.7000000000000001E-3</v>
      </c>
      <c r="AB34" s="3184">
        <f t="shared" si="53"/>
        <v>7.9000000000000008E-3</v>
      </c>
      <c r="AC34" s="3213"/>
      <c r="AD34" s="3184">
        <f t="shared" si="53"/>
        <v>2.7000000000000001E-3</v>
      </c>
    </row>
    <row r="35" spans="1:30" s="3185" customFormat="1" ht="12.75">
      <c r="A35" s="3176" t="s">
        <v>3356</v>
      </c>
      <c r="B35" s="3177">
        <v>2022</v>
      </c>
      <c r="C35" s="3178">
        <v>2</v>
      </c>
      <c r="D35" s="3179"/>
      <c r="E35" s="3179">
        <v>-0.11</v>
      </c>
      <c r="F35" s="3179">
        <v>-0.13</v>
      </c>
      <c r="G35" s="3179">
        <v>0.53</v>
      </c>
      <c r="H35" s="3196"/>
      <c r="I35" s="3180">
        <f t="shared" si="36"/>
        <v>-0.13</v>
      </c>
      <c r="J35" s="3181"/>
      <c r="K35" s="3182"/>
      <c r="L35" s="3172">
        <f t="shared" si="37"/>
        <v>-1.1000000000000001E-3</v>
      </c>
      <c r="M35" s="3172">
        <f t="shared" si="37"/>
        <v>-1.2999999999999999E-3</v>
      </c>
      <c r="N35" s="3172">
        <f t="shared" si="37"/>
        <v>5.3E-3</v>
      </c>
      <c r="O35" s="3172"/>
      <c r="P35" s="3172">
        <f t="shared" si="51"/>
        <v>-1.2999999999999999E-3</v>
      </c>
      <c r="Q35" s="3181"/>
      <c r="R35" s="3183"/>
      <c r="S35" s="3183">
        <f>ROUND(IF(项目基本情况!$B$8="出让",SUMPRODUCT(PRODUCT(1+L35:L$40)),SUMPRODUCT(PRODUCT(1+L35:L$39))),4)</f>
        <v>1.0210999999999999</v>
      </c>
      <c r="T35" s="3183">
        <f>ROUND(IF(项目基本情况!$B$8="出让",SUMPRODUCT(PRODUCT(1+M35:M$40)),SUMPRODUCT(PRODUCT(1+M35:M$39))),4)</f>
        <v>1.0114000000000001</v>
      </c>
      <c r="U35" s="3183">
        <f>ROUND(IF(项目基本情况!$B$8="出让",SUMPRODUCT(PRODUCT(1+N35:N$40)),SUMPRODUCT(PRODUCT(1+N35:N$39))),4)</f>
        <v>1.0381</v>
      </c>
      <c r="V35" s="3183"/>
      <c r="W35" s="3183">
        <f t="shared" si="52"/>
        <v>1.0114000000000001</v>
      </c>
      <c r="X35" s="3181"/>
      <c r="Y35" s="3184"/>
      <c r="Z35" s="3212">
        <f t="shared" si="53"/>
        <v>4.1000000000000003E-3</v>
      </c>
      <c r="AA35" s="3214">
        <f t="shared" si="53"/>
        <v>2.7000000000000001E-3</v>
      </c>
      <c r="AB35" s="3184">
        <f t="shared" si="53"/>
        <v>7.9000000000000008E-3</v>
      </c>
      <c r="AC35" s="3213"/>
      <c r="AD35" s="3184">
        <f t="shared" si="53"/>
        <v>2.7000000000000001E-3</v>
      </c>
    </row>
    <row r="36" spans="1:30" s="3185" customFormat="1" ht="12.75">
      <c r="A36" s="3176" t="s">
        <v>2836</v>
      </c>
      <c r="B36" s="3177">
        <v>2022</v>
      </c>
      <c r="C36" s="3178">
        <v>1</v>
      </c>
      <c r="D36" s="3179"/>
      <c r="E36" s="3179">
        <v>0.6</v>
      </c>
      <c r="F36" s="3179">
        <v>0.45</v>
      </c>
      <c r="G36" s="3179">
        <v>0.53</v>
      </c>
      <c r="H36" s="3196"/>
      <c r="I36" s="3180">
        <f t="shared" si="36"/>
        <v>0.45</v>
      </c>
      <c r="J36" s="3181"/>
      <c r="K36" s="3182"/>
      <c r="L36" s="3172">
        <f t="shared" si="37"/>
        <v>6.0000000000000001E-3</v>
      </c>
      <c r="M36" s="3172">
        <f t="shared" si="37"/>
        <v>4.5000000000000005E-3</v>
      </c>
      <c r="N36" s="3172">
        <f t="shared" si="37"/>
        <v>5.3E-3</v>
      </c>
      <c r="O36" s="3172"/>
      <c r="P36" s="3172">
        <f t="shared" si="51"/>
        <v>4.5000000000000005E-3</v>
      </c>
      <c r="Q36" s="3181"/>
      <c r="R36" s="3183"/>
      <c r="S36" s="3183">
        <f>ROUND(IF(项目基本情况!$B$8="出让",SUMPRODUCT(PRODUCT(1+L36:L$40)),SUMPRODUCT(PRODUCT(1+L36:L$39))),4)</f>
        <v>1.0222</v>
      </c>
      <c r="T36" s="3183">
        <f>ROUND(IF(项目基本情况!$B$8="出让",SUMPRODUCT(PRODUCT(1+M36:M$40)),SUMPRODUCT(PRODUCT(1+M36:M$39))),4)</f>
        <v>1.0127999999999999</v>
      </c>
      <c r="U36" s="3183">
        <f>ROUND(IF(项目基本情况!$B$8="出让",SUMPRODUCT(PRODUCT(1+N36:N$40)),SUMPRODUCT(PRODUCT(1+N36:N$39))),4)</f>
        <v>1.0326</v>
      </c>
      <c r="V36" s="3183"/>
      <c r="W36" s="3183">
        <f t="shared" si="52"/>
        <v>1.0127999999999999</v>
      </c>
      <c r="X36" s="3181"/>
      <c r="Y36" s="3184"/>
      <c r="Z36" s="3212">
        <f t="shared" si="53"/>
        <v>5.1000000000000004E-3</v>
      </c>
      <c r="AA36" s="3214">
        <f t="shared" si="53"/>
        <v>3.5000000000000001E-3</v>
      </c>
      <c r="AB36" s="3184">
        <f t="shared" si="53"/>
        <v>8.3999999999999995E-3</v>
      </c>
      <c r="AC36" s="3213"/>
      <c r="AD36" s="3184">
        <f t="shared" si="53"/>
        <v>3.5000000000000001E-3</v>
      </c>
    </row>
    <row r="37" spans="1:30" s="3185" customFormat="1" ht="12.75">
      <c r="A37" s="3176" t="s">
        <v>2837</v>
      </c>
      <c r="B37" s="3177">
        <v>2021</v>
      </c>
      <c r="C37" s="3178">
        <v>4</v>
      </c>
      <c r="D37" s="3179"/>
      <c r="E37" s="3179">
        <v>0.57999999999999996</v>
      </c>
      <c r="F37" s="3179">
        <v>0.08</v>
      </c>
      <c r="G37" s="3179">
        <v>0.68</v>
      </c>
      <c r="H37" s="3196"/>
      <c r="I37" s="3180">
        <f t="shared" si="36"/>
        <v>0.08</v>
      </c>
      <c r="J37" s="3181"/>
      <c r="K37" s="3182"/>
      <c r="L37" s="3172">
        <f t="shared" si="37"/>
        <v>5.7999999999999996E-3</v>
      </c>
      <c r="M37" s="3172">
        <f t="shared" si="37"/>
        <v>8.0000000000000004E-4</v>
      </c>
      <c r="N37" s="3172">
        <f t="shared" si="37"/>
        <v>6.8000000000000005E-3</v>
      </c>
      <c r="O37" s="3172"/>
      <c r="P37" s="3172">
        <f t="shared" si="51"/>
        <v>8.0000000000000004E-4</v>
      </c>
      <c r="Q37" s="3181"/>
      <c r="R37" s="3183"/>
      <c r="S37" s="3183">
        <f>ROUND(IF(项目基本情况!$B$8="出让",SUMPRODUCT(PRODUCT(1+L37:L$40)),SUMPRODUCT(PRODUCT(1+L37:L$39))),4)</f>
        <v>1.0161</v>
      </c>
      <c r="T37" s="3183">
        <f>ROUND(IF(项目基本情况!$B$8="出让",SUMPRODUCT(PRODUCT(1+M37:M$40)),SUMPRODUCT(PRODUCT(1+M37:M$39))),4)</f>
        <v>1.0082</v>
      </c>
      <c r="U37" s="3183">
        <f>ROUND(IF(项目基本情况!$B$8="出让",SUMPRODUCT(PRODUCT(1+N37:N$40)),SUMPRODUCT(PRODUCT(1+N37:N$39))),4)</f>
        <v>1.0270999999999999</v>
      </c>
      <c r="V37" s="3183"/>
      <c r="W37" s="3183">
        <f t="shared" si="52"/>
        <v>1.0082</v>
      </c>
      <c r="X37" s="3181"/>
      <c r="Y37" s="3184"/>
      <c r="Z37" s="3212">
        <f t="shared" si="53"/>
        <v>4.8999999999999998E-3</v>
      </c>
      <c r="AA37" s="3214">
        <f t="shared" si="53"/>
        <v>3.3E-3</v>
      </c>
      <c r="AB37" s="3184">
        <f t="shared" si="53"/>
        <v>9.1999999999999998E-3</v>
      </c>
      <c r="AC37" s="3213"/>
      <c r="AD37" s="3184">
        <f t="shared" si="53"/>
        <v>3.3E-3</v>
      </c>
    </row>
    <row r="38" spans="1:30" s="3185" customFormat="1" ht="12.75">
      <c r="A38" s="3176" t="s">
        <v>2838</v>
      </c>
      <c r="B38" s="3177">
        <v>2021</v>
      </c>
      <c r="C38" s="3178">
        <v>3</v>
      </c>
      <c r="D38" s="3179"/>
      <c r="E38" s="3179">
        <v>0.47</v>
      </c>
      <c r="F38" s="3179">
        <v>0.28000000000000003</v>
      </c>
      <c r="G38" s="3179">
        <v>0.91</v>
      </c>
      <c r="H38" s="3196"/>
      <c r="I38" s="3180">
        <f t="shared" si="36"/>
        <v>0.28000000000000003</v>
      </c>
      <c r="J38" s="3181"/>
      <c r="K38" s="3182"/>
      <c r="L38" s="3172">
        <f t="shared" si="37"/>
        <v>4.6999999999999993E-3</v>
      </c>
      <c r="M38" s="3172">
        <f t="shared" si="37"/>
        <v>2.8000000000000004E-3</v>
      </c>
      <c r="N38" s="3172">
        <f t="shared" si="37"/>
        <v>9.1000000000000004E-3</v>
      </c>
      <c r="O38" s="3172"/>
      <c r="P38" s="3172">
        <f t="shared" si="51"/>
        <v>2.8000000000000004E-3</v>
      </c>
      <c r="Q38" s="3181"/>
      <c r="R38" s="3183"/>
      <c r="S38" s="3183">
        <f>ROUND(IF(项目基本情况!$B$8="出让",SUMPRODUCT(PRODUCT(1+L38:L$40)),SUMPRODUCT(PRODUCT(1+L38:L$39))),4)</f>
        <v>1.0102</v>
      </c>
      <c r="T38" s="3183">
        <f>ROUND(IF(项目基本情况!$B$8="出让",SUMPRODUCT(PRODUCT(1+M38:M$40)),SUMPRODUCT(PRODUCT(1+M38:M$39))),4)</f>
        <v>1.0074000000000001</v>
      </c>
      <c r="U38" s="3183">
        <f>ROUND(IF(项目基本情况!$B$8="出让",SUMPRODUCT(PRODUCT(1+N38:N$40)),SUMPRODUCT(PRODUCT(1+N38:N$39))),4)</f>
        <v>1.0202</v>
      </c>
      <c r="V38" s="3183"/>
      <c r="W38" s="3183">
        <f t="shared" si="52"/>
        <v>1.0074000000000001</v>
      </c>
      <c r="X38" s="3181"/>
      <c r="Y38" s="3184"/>
      <c r="Z38" s="3212">
        <f t="shared" si="53"/>
        <v>4.5999999999999999E-3</v>
      </c>
      <c r="AA38" s="3214">
        <f t="shared" si="53"/>
        <v>4.1000000000000003E-3</v>
      </c>
      <c r="AB38" s="3184">
        <f t="shared" si="53"/>
        <v>0.01</v>
      </c>
      <c r="AC38" s="3213"/>
      <c r="AD38" s="3184">
        <f t="shared" si="53"/>
        <v>4.1000000000000003E-3</v>
      </c>
    </row>
    <row r="39" spans="1:30" s="3185" customFormat="1" ht="12.75">
      <c r="A39" s="3176" t="s">
        <v>2839</v>
      </c>
      <c r="B39" s="3177">
        <v>2021</v>
      </c>
      <c r="C39" s="3178">
        <v>2</v>
      </c>
      <c r="D39" s="3179"/>
      <c r="E39" s="3179">
        <v>0.55000000000000004</v>
      </c>
      <c r="F39" s="3179">
        <v>0.46</v>
      </c>
      <c r="G39" s="3179">
        <v>1.1000000000000001</v>
      </c>
      <c r="H39" s="3196"/>
      <c r="I39" s="3180">
        <f t="shared" si="36"/>
        <v>0.46</v>
      </c>
      <c r="J39" s="3181"/>
      <c r="K39" s="3182"/>
      <c r="L39" s="3172">
        <f t="shared" si="37"/>
        <v>5.5000000000000005E-3</v>
      </c>
      <c r="M39" s="3172">
        <f t="shared" si="37"/>
        <v>4.5999999999999999E-3</v>
      </c>
      <c r="N39" s="3172">
        <f t="shared" si="37"/>
        <v>1.1000000000000001E-2</v>
      </c>
      <c r="O39" s="3172"/>
      <c r="P39" s="3172">
        <f t="shared" si="51"/>
        <v>4.5999999999999999E-3</v>
      </c>
      <c r="Q39" s="3181"/>
      <c r="R39" s="3183"/>
      <c r="S39" s="3183">
        <f>ROUND(IF(项目基本情况!$B$8="出让",SUMPRODUCT(PRODUCT(1+L39:L$40)),SUMPRODUCT(PRODUCT(1+L39:L$39))),4)</f>
        <v>1.0055000000000001</v>
      </c>
      <c r="T39" s="3183">
        <f>ROUND(IF(项目基本情况!$B$8="出让",SUMPRODUCT(PRODUCT(1+M39:M$40)),SUMPRODUCT(PRODUCT(1+M39:M$39))),4)</f>
        <v>1.0045999999999999</v>
      </c>
      <c r="U39" s="3183">
        <f>ROUND(IF(项目基本情况!$B$8="出让",SUMPRODUCT(PRODUCT(1+N39:N$40)),SUMPRODUCT(PRODUCT(1+N39:N$39))),4)</f>
        <v>1.0109999999999999</v>
      </c>
      <c r="V39" s="3183"/>
      <c r="W39" s="3183">
        <f t="shared" si="52"/>
        <v>1.0045999999999999</v>
      </c>
      <c r="X39" s="3181"/>
      <c r="Y39" s="3184"/>
      <c r="Z39" s="3212">
        <f t="shared" si="53"/>
        <v>4.4999999999999997E-3</v>
      </c>
      <c r="AA39" s="3214">
        <f t="shared" si="53"/>
        <v>4.7000000000000002E-3</v>
      </c>
      <c r="AB39" s="3184">
        <f t="shared" si="53"/>
        <v>1.04E-2</v>
      </c>
      <c r="AC39" s="3213"/>
      <c r="AD39" s="3184">
        <f t="shared" si="53"/>
        <v>4.7000000000000002E-3</v>
      </c>
    </row>
    <row r="40" spans="1:30" s="3207" customFormat="1" thickBot="1">
      <c r="A40" s="3197" t="s">
        <v>2825</v>
      </c>
      <c r="B40" s="3198">
        <v>2021</v>
      </c>
      <c r="C40" s="3199">
        <v>1</v>
      </c>
      <c r="D40" s="3200"/>
      <c r="E40" s="3200">
        <v>0.35</v>
      </c>
      <c r="F40" s="3200">
        <v>0.48</v>
      </c>
      <c r="G40" s="3200">
        <v>0.98</v>
      </c>
      <c r="H40" s="3201"/>
      <c r="I40" s="3202">
        <f t="shared" si="36"/>
        <v>0.48</v>
      </c>
      <c r="J40" s="3203"/>
      <c r="K40" s="3204"/>
      <c r="L40" s="3205">
        <f t="shared" si="37"/>
        <v>3.4999999999999996E-3</v>
      </c>
      <c r="M40" s="3205">
        <f>F40/100</f>
        <v>4.7999999999999996E-3</v>
      </c>
      <c r="N40" s="3205">
        <f t="shared" si="37"/>
        <v>9.7999999999999997E-3</v>
      </c>
      <c r="O40" s="3205"/>
      <c r="P40" s="3205">
        <f t="shared" si="51"/>
        <v>4.7999999999999996E-3</v>
      </c>
      <c r="Q40" s="3203"/>
      <c r="R40" s="3206"/>
      <c r="S40" s="3206">
        <v>1</v>
      </c>
      <c r="T40" s="3206">
        <v>1</v>
      </c>
      <c r="U40" s="3206">
        <v>1</v>
      </c>
      <c r="V40" s="3206"/>
      <c r="W40" s="3206">
        <f t="shared" si="52"/>
        <v>1</v>
      </c>
      <c r="X40" s="3203"/>
      <c r="Y40" s="3205"/>
      <c r="Z40" s="3218">
        <f t="shared" si="53"/>
        <v>3.5000000000000001E-3</v>
      </c>
      <c r="AA40" s="3219">
        <f t="shared" si="53"/>
        <v>4.7999999999999996E-3</v>
      </c>
      <c r="AB40" s="3205">
        <f t="shared" si="53"/>
        <v>9.7999999999999997E-3</v>
      </c>
      <c r="AC40" s="3220"/>
      <c r="AD40" s="3205">
        <f t="shared" si="53"/>
        <v>4.7999999999999996E-3</v>
      </c>
    </row>
    <row r="41" spans="1:30" ht="14.25" thickTop="1"/>
    <row r="42" spans="1:30">
      <c r="A42" s="3448" t="s">
        <v>3368</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4002" t="s">
        <v>452</v>
      </c>
      <c r="C1" s="4002"/>
      <c r="D1" s="4002"/>
      <c r="E1" s="4002"/>
      <c r="F1" s="4002"/>
      <c r="G1" s="4001" t="s">
        <v>453</v>
      </c>
      <c r="H1" s="4001"/>
      <c r="I1" s="4001"/>
      <c r="J1" s="4001"/>
      <c r="K1" s="4001"/>
      <c r="L1" s="4001"/>
      <c r="N1" s="4001" t="s">
        <v>454</v>
      </c>
      <c r="O1" s="4001"/>
      <c r="P1" s="4001"/>
      <c r="Q1" s="4001"/>
      <c r="S1" s="4001" t="s">
        <v>455</v>
      </c>
      <c r="T1" s="4001"/>
      <c r="U1" s="4001"/>
      <c r="V1" s="4001"/>
      <c r="X1" s="4000" t="s">
        <v>456</v>
      </c>
      <c r="Y1" s="4001"/>
      <c r="Z1" s="4001"/>
      <c r="AA1" s="4001"/>
      <c r="AB1" s="4001"/>
      <c r="AD1" s="4000" t="s">
        <v>457</v>
      </c>
      <c r="AE1" s="4001"/>
      <c r="AF1" s="4001"/>
      <c r="AG1" s="4001"/>
      <c r="AH1" s="4001"/>
    </row>
    <row r="2" spans="1:34" s="2172" customFormat="1" ht="14.25" thickBot="1">
      <c r="B2" s="2173" t="s">
        <v>458</v>
      </c>
      <c r="C2" s="2173" t="s">
        <v>459</v>
      </c>
      <c r="D2" s="2174" t="s">
        <v>460</v>
      </c>
      <c r="E2" s="2174" t="s">
        <v>461</v>
      </c>
      <c r="F2" s="2173" t="s">
        <v>462</v>
      </c>
      <c r="G2" s="2175"/>
      <c r="I2" s="2173" t="s">
        <v>458</v>
      </c>
      <c r="J2" s="2174" t="s">
        <v>674</v>
      </c>
      <c r="K2" s="2174" t="s">
        <v>308</v>
      </c>
      <c r="L2" s="2173" t="s">
        <v>462</v>
      </c>
      <c r="N2" s="2173" t="s">
        <v>458</v>
      </c>
      <c r="O2" s="2174" t="s">
        <v>674</v>
      </c>
      <c r="P2" s="2174" t="s">
        <v>308</v>
      </c>
      <c r="Q2" s="2173" t="s">
        <v>462</v>
      </c>
      <c r="S2" s="2173" t="s">
        <v>458</v>
      </c>
      <c r="T2" s="2174" t="s">
        <v>674</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2111</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3364</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3361</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2112</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3362</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3363</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2437</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2314</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2313</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2312</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2309</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2308</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2127</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2125</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2124</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2123</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2121</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2120</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2122</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998">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2118</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998"/>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2117</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998"/>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2110</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4007"/>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2108</v>
      </c>
      <c r="B25" s="2220">
        <v>439</v>
      </c>
      <c r="C25" s="2220">
        <v>327</v>
      </c>
      <c r="D25" s="2220">
        <f>C25</f>
        <v>327</v>
      </c>
      <c r="E25" s="2220">
        <v>627</v>
      </c>
      <c r="F25" s="2221">
        <v>283</v>
      </c>
      <c r="G25" s="4003">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2109</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998"/>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675</v>
      </c>
      <c r="B27" s="2206">
        <f t="shared" si="232"/>
        <v>419.31181600000002</v>
      </c>
      <c r="C27" s="2206">
        <f t="shared" si="233"/>
        <v>313.95436800000004</v>
      </c>
      <c r="D27" s="2206">
        <f t="shared" si="234"/>
        <v>313.95436800000004</v>
      </c>
      <c r="E27" s="2206">
        <f t="shared" si="235"/>
        <v>596.63028431999999</v>
      </c>
      <c r="F27" s="2206">
        <f t="shared" si="236"/>
        <v>274.74220703999998</v>
      </c>
      <c r="G27" s="3998"/>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4007"/>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4003">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998"/>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998"/>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999"/>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997">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998"/>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998"/>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999"/>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997">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998"/>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998"/>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999"/>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4004">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4005"/>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4005"/>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4006"/>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997">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998"/>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998"/>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999"/>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997">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998">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998">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999">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997">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998">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998">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999">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997">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998">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998">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999">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997">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998">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998">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999">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997">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998">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998">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999">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997">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998">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998">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999">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997">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998">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998">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999">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997">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998">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998">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999">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997">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998">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998">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999">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997">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998">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998">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999">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45400</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6" t="s">
        <v>2310</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97" workbookViewId="0">
      <selection activeCell="B104" sqref="B104"/>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57</vt:i4>
      </vt:variant>
      <vt:variant>
        <vt:lpstr>命名范围</vt:lpstr>
      </vt:variant>
      <vt:variant>
        <vt:i4>160</vt:i4>
      </vt:variant>
    </vt:vector>
  </HeadingPairs>
  <TitlesOfParts>
    <vt:vector size="21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面积表</vt:lpstr>
      <vt:lpstr>清单</vt:lpstr>
      <vt:lpstr>Sheet2</vt:lpstr>
      <vt:lpstr>最新抵押物清单</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收益法</vt:lpstr>
      <vt:lpstr>收益法 (元)</vt:lpstr>
      <vt:lpstr>收益法-酒店模型</vt:lpstr>
      <vt:lpstr>收益法(商业)</vt:lpstr>
      <vt:lpstr>收益法（汇总）</vt:lpstr>
      <vt:lpstr>比较法-住宅</vt:lpstr>
      <vt:lpstr>结果表(划拨)</vt:lpstr>
      <vt:lpstr>成本法(划拨)</vt:lpstr>
      <vt:lpstr>收益法(划拨)</vt:lpstr>
      <vt:lpstr>基准地价修正(划拨)</vt:lpstr>
      <vt:lpstr>结果表(办公)</vt:lpstr>
      <vt:lpstr>结果表(商业)</vt:lpstr>
      <vt:lpstr>比较法-办公</vt:lpstr>
      <vt:lpstr>比较法-工业</vt:lpstr>
      <vt:lpstr>比较法-车位</vt:lpstr>
      <vt:lpstr>比较法-仓储</vt:lpstr>
      <vt:lpstr>土地比较法-住宅、综合</vt:lpstr>
      <vt:lpstr>土地比较法-工业</vt:lpstr>
      <vt:lpstr>基准地价（汇总）</vt:lpstr>
      <vt:lpstr>比较法-商业</vt:lpstr>
      <vt:lpstr>典型户型修正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'成本法(划拨)'!Print_Area</vt:lpstr>
      <vt:lpstr>估价对象房地状况!Print_Area</vt:lpstr>
      <vt:lpstr>估价师及机构信息!Print_Area</vt:lpstr>
      <vt:lpstr>'基准地价（汇总）'!Print_Area</vt:lpstr>
      <vt:lpstr>基准地价修正!Print_Area</vt:lpstr>
      <vt:lpstr>'基准地价修正(划拨)'!Print_Area</vt:lpstr>
      <vt:lpstr>假设开发法!Print_Area</vt:lpstr>
      <vt:lpstr>结果表!Print_Area</vt:lpstr>
      <vt:lpstr>'结果表(办公)'!Print_Area</vt:lpstr>
      <vt:lpstr>'结果表(划拨)'!Print_Area</vt:lpstr>
      <vt:lpstr>'结果表(商业)'!Print_Area</vt:lpstr>
      <vt:lpstr>收益法!Print_Area</vt:lpstr>
      <vt:lpstr>'收益法 (元)'!Print_Area</vt:lpstr>
      <vt:lpstr>'收益法(划拨)'!Print_Area</vt:lpstr>
      <vt:lpstr>'收益法（汇总）'!Print_Area</vt:lpstr>
      <vt:lpstr>'收益法(商业)'!Print_Area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'基准地价修正(划拨)'!季度</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2024-04-18T06:27:45Z</cp:lastPrinted>
  <dcterms:created xsi:type="dcterms:W3CDTF">2015-07-13T07:17:23Z</dcterms:created>
  <dcterms:modified xsi:type="dcterms:W3CDTF">2024-04-24T08:28:35Z</dcterms:modified>
</cp:coreProperties>
</file>